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'3'!$A$110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'3'!$A$1:$BF$136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C9" i="2" l="1"/>
  <c r="BC19" i="2"/>
  <c r="BA19" i="2"/>
  <c r="BC18" i="2"/>
  <c r="BB57" i="2" l="1"/>
  <c r="BB33" i="2"/>
  <c r="BE106" i="2" l="1"/>
  <c r="BE38" i="2"/>
  <c r="BE101" i="2"/>
  <c r="BE32" i="2"/>
  <c r="BE27" i="2"/>
  <c r="BE112" i="2"/>
  <c r="BB78" i="2"/>
  <c r="BB29" i="2"/>
  <c r="BB73" i="2"/>
  <c r="BB72" i="2"/>
  <c r="BB71" i="2"/>
  <c r="BB67" i="2"/>
  <c r="BE16" i="2"/>
  <c r="BE14" i="2"/>
  <c r="BE48" i="2" l="1"/>
  <c r="BE122" i="2"/>
  <c r="BE97" i="2" l="1"/>
  <c r="BE102" i="2"/>
  <c r="BE99" i="2"/>
  <c r="BJ105" i="2" l="1"/>
  <c r="BJ114" i="2"/>
  <c r="BC92" i="2"/>
  <c r="BC93" i="2"/>
  <c r="BB39" i="2" l="1"/>
  <c r="BJ110" i="2" l="1"/>
  <c r="BE110" i="2" l="1"/>
  <c r="BE61" i="2"/>
  <c r="BE104" i="2"/>
  <c r="BE59" i="2" l="1"/>
  <c r="BB12" i="2" l="1"/>
  <c r="BB53" i="2"/>
  <c r="BB75" i="2" l="1"/>
  <c r="BC36" i="2" l="1"/>
  <c r="BC50" i="2" l="1"/>
  <c r="BB77" i="2" l="1"/>
  <c r="BB76" i="2"/>
  <c r="BE49" i="2" l="1"/>
  <c r="BC95" i="2" l="1"/>
  <c r="BC49" i="2"/>
  <c r="BC48" i="2" s="1"/>
  <c r="BE108" i="2" l="1"/>
  <c r="BB36" i="2" l="1"/>
  <c r="BE36" i="2"/>
  <c r="BE105" i="2" l="1"/>
  <c r="C24" i="4" l="1"/>
  <c r="C21" i="4"/>
  <c r="C20" i="4"/>
  <c r="C19" i="4"/>
  <c r="C16" i="4"/>
  <c r="C14" i="4"/>
  <c r="C13" i="4"/>
  <c r="C12" i="4"/>
  <c r="C10" i="4"/>
  <c r="C9" i="4"/>
  <c r="C7" i="4"/>
  <c r="C6" i="4"/>
  <c r="BB88" i="2" l="1"/>
  <c r="BB82" i="2"/>
  <c r="BB35" i="2"/>
  <c r="BB31" i="2"/>
  <c r="BB85" i="2" l="1"/>
  <c r="BB84" i="2"/>
  <c r="BB83" i="2"/>
  <c r="BJ106" i="2" s="1"/>
  <c r="BJ111" i="2" l="1"/>
  <c r="BB87" i="2"/>
  <c r="BB86" i="2" l="1"/>
  <c r="BJ107" i="2" s="1"/>
  <c r="I19" i="5" l="1"/>
  <c r="H19" i="5"/>
  <c r="BB54" i="2"/>
  <c r="BB62" i="2"/>
  <c r="BB40" i="2"/>
  <c r="BB28" i="2" l="1"/>
  <c r="BB27" i="2" s="1"/>
  <c r="BI104" i="2"/>
  <c r="BE126" i="2"/>
  <c r="BI111" i="2"/>
  <c r="BE123" i="2"/>
  <c r="BE121" i="2"/>
  <c r="BE120" i="2"/>
  <c r="BE10" i="2"/>
  <c r="BI116" i="2"/>
  <c r="BJ116" i="2"/>
  <c r="BJ115" i="2"/>
  <c r="BI115" i="2"/>
  <c r="BJ113" i="2"/>
  <c r="BI113" i="2"/>
  <c r="BJ112" i="2"/>
  <c r="BI112" i="2"/>
  <c r="BI110" i="2"/>
  <c r="BI109" i="2"/>
  <c r="BJ104" i="2"/>
  <c r="F12" i="5"/>
  <c r="H12" i="5"/>
  <c r="I12" i="5"/>
  <c r="J12" i="5"/>
  <c r="K12" i="5"/>
  <c r="L12" i="5"/>
  <c r="E12" i="5"/>
  <c r="BK116" i="2" l="1"/>
  <c r="D19" i="5" s="1"/>
  <c r="G19" i="5" s="1"/>
  <c r="BI108" i="2"/>
  <c r="BK113" i="2"/>
  <c r="D24" i="5" s="1"/>
  <c r="G24" i="5" s="1"/>
  <c r="BK112" i="2"/>
  <c r="D23" i="5" s="1"/>
  <c r="G23" i="5" s="1"/>
  <c r="BK115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A9" i="8" l="1"/>
  <c r="BG9" i="8" s="1"/>
  <c r="BC9" i="8"/>
  <c r="BC48" i="8" s="1"/>
  <c r="BA136" i="2"/>
  <c r="BA135" i="2"/>
  <c r="BA134" i="2"/>
  <c r="BA133" i="2"/>
  <c r="BA132" i="2"/>
  <c r="BA131" i="2"/>
  <c r="BA130" i="2"/>
  <c r="BH129" i="2"/>
  <c r="BA129" i="2"/>
  <c r="BJ125" i="2"/>
  <c r="BE119" i="2"/>
  <c r="BJ136" i="2"/>
  <c r="BE118" i="2"/>
  <c r="BI135" i="2" s="1"/>
  <c r="BJ135" i="2"/>
  <c r="BE117" i="2"/>
  <c r="BJ134" i="2"/>
  <c r="BE116" i="2"/>
  <c r="BI107" i="2"/>
  <c r="BJ108" i="2"/>
  <c r="BB66" i="2"/>
  <c r="BA65" i="2"/>
  <c r="BB59" i="2"/>
  <c r="BE58" i="2"/>
  <c r="BE55" i="2" s="1"/>
  <c r="BB55" i="2"/>
  <c r="BB52" i="2"/>
  <c r="BA52" i="2" s="1"/>
  <c r="BA48" i="2"/>
  <c r="BF46" i="2"/>
  <c r="BD46" i="2"/>
  <c r="BC46" i="2"/>
  <c r="BA45" i="2"/>
  <c r="BA43" i="2" s="1"/>
  <c r="BF43" i="2"/>
  <c r="BE43" i="2"/>
  <c r="BD43" i="2"/>
  <c r="BC43" i="2"/>
  <c r="BB43" i="2"/>
  <c r="BA40" i="2"/>
  <c r="BA36" i="2"/>
  <c r="B34" i="2"/>
  <c r="B33" i="2"/>
  <c r="BB32" i="2"/>
  <c r="BF26" i="2"/>
  <c r="BF25" i="2" s="1"/>
  <c r="BD26" i="2"/>
  <c r="BD25" i="2" s="1"/>
  <c r="BC26" i="2"/>
  <c r="BC25" i="2" s="1"/>
  <c r="BA23" i="2"/>
  <c r="BA18" i="2"/>
  <c r="BA17" i="2"/>
  <c r="BA16" i="2"/>
  <c r="BA15" i="2"/>
  <c r="BE11" i="2"/>
  <c r="BB11" i="2"/>
  <c r="BB9" i="2" s="1"/>
  <c r="BA10" i="2"/>
  <c r="BF9" i="2"/>
  <c r="BD9" i="2"/>
  <c r="BI114" i="2" l="1"/>
  <c r="BK114" i="2" s="1"/>
  <c r="D25" i="5" s="1"/>
  <c r="G25" i="5" s="1"/>
  <c r="BI106" i="2"/>
  <c r="BJ117" i="2"/>
  <c r="BI134" i="2"/>
  <c r="BL116" i="2" s="1"/>
  <c r="BA27" i="2"/>
  <c r="BL117" i="2"/>
  <c r="BC66" i="2"/>
  <c r="BC24" i="2" s="1"/>
  <c r="BC139" i="2" s="1"/>
  <c r="BE46" i="2"/>
  <c r="BA59" i="2"/>
  <c r="BA48" i="8"/>
  <c r="BF24" i="2"/>
  <c r="BF139" i="2" s="1"/>
  <c r="BA32" i="2"/>
  <c r="BK105" i="2"/>
  <c r="D26" i="5" s="1"/>
  <c r="G26" i="5" s="1"/>
  <c r="BK107" i="2"/>
  <c r="D17" i="5" s="1"/>
  <c r="G17" i="5" s="1"/>
  <c r="BE9" i="2"/>
  <c r="BE66" i="2"/>
  <c r="BK109" i="2"/>
  <c r="D20" i="5" s="1"/>
  <c r="G20" i="5" s="1"/>
  <c r="BK111" i="2"/>
  <c r="D22" i="5" s="1"/>
  <c r="G22" i="5" s="1"/>
  <c r="BJ137" i="2"/>
  <c r="BK110" i="2"/>
  <c r="D21" i="5" s="1"/>
  <c r="G21" i="5" s="1"/>
  <c r="BA55" i="2"/>
  <c r="BA20" i="2"/>
  <c r="BD24" i="2"/>
  <c r="BD139" i="2" s="1"/>
  <c r="BK104" i="2"/>
  <c r="D14" i="5" s="1"/>
  <c r="BK108" i="2"/>
  <c r="D18" i="5" s="1"/>
  <c r="G18" i="5" s="1"/>
  <c r="BI136" i="2"/>
  <c r="BL118" i="2" s="1"/>
  <c r="BA11" i="2"/>
  <c r="BA9" i="2" s="1"/>
  <c r="BE26" i="2"/>
  <c r="BE25" i="2" s="1"/>
  <c r="BB46" i="2"/>
  <c r="BB26" i="2"/>
  <c r="BB25" i="2" s="1"/>
  <c r="BI117" i="2" l="1"/>
  <c r="BI118" i="2" s="1"/>
  <c r="BJ118" i="2"/>
  <c r="BA26" i="2"/>
  <c r="BA25" i="2" s="1"/>
  <c r="BA66" i="2"/>
  <c r="BE24" i="2"/>
  <c r="BE139" i="2" s="1"/>
  <c r="BB24" i="2"/>
  <c r="BB139" i="2" s="1"/>
  <c r="BA46" i="2"/>
  <c r="BK106" i="2"/>
  <c r="BI137" i="2"/>
  <c r="BL119" i="2" s="1"/>
  <c r="BA24" i="2" l="1"/>
  <c r="BA139" i="2" s="1"/>
  <c r="BK117" i="2"/>
  <c r="BK118" i="2" s="1"/>
  <c r="D16" i="5"/>
  <c r="D12" i="5" s="1"/>
  <c r="D30" i="5" s="1"/>
  <c r="BI138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<sst xmlns="http://schemas.openxmlformats.org/spreadsheetml/2006/main" count="615" uniqueCount="292">
  <si>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</si>
  <si>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</si>
  <si>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</si>
  <si>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</si>
  <si>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</si>
  <si>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</si>
  <si>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</si>
  <si>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</si>
  <si>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</si>
  <si>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</si>
  <si>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</si>
  <si>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</si>
  <si>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</si>
  <si>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</si>
  <si>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</si>
  <si>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</si>
  <si>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</si>
  <si>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</si>
  <si>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</si>
  <si>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</si>
  <si>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</si>
  <si>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</si>
  <si>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</si>
  <si>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</si>
  <si>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</si>
  <si>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</si>
  <si>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</si>
  <si>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</si>
  <si>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</si>
  <si>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</si>
  <si>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</si>
  <si>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</si>
  <si>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</si>
  <si>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</si>
  <si>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</si>
  <si>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</si>
  <si>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</si>
  <si>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</si>
  <si>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</si>
  <si>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</si>
  <si>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</si>
  <si>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</si>
  <si>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</si>
  <si>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</si>
  <si>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</si>
  <si>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</si>
  <si>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</si>
  <si>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</si>
  <si>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</si>
  <si>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</si>
  <si>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</si>
  <si>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</si>
  <si>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</si>
  <si>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</si>
  <si>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</si>
  <si>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</si>
  <si>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</si>
  <si>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</si>
  <si>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</si>
  <si>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</si>
  <si>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</si>
  <si>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</si>
  <si>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</si>
  <si>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</si>
  <si>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</si>
  <si>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</si>
  <si>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</si>
  <si>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</si>
  <si>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</si>
  <si>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</si>
  <si>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</si>
  <si>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</si>
  <si>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</si>
  <si>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</si>
  <si>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</si>
  <si>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</si>
  <si>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</si>
  <si>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</si>
  <si>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</si>
  <si>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</si>
  <si>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</si>
  <si>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</si>
  <si>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</si>
  <si>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</si>
  <si>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</si>
  <si>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</si>
  <si>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</si>
  <si>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</si>
  <si>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</si>
  <si>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</si>
  <si>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</si>
  <si>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</si>
  <si>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</si>
  <si>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</si>
  <si>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</si>
  <si>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</si>
  <si>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</si>
  <si>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</si>
  <si>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</si>
  <si>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</si>
  <si>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</si>
  <si>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</si>
  <si>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</si>
  <si>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</si>
  <si>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</si>
  <si>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</si>
  <si>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</si>
  <si>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</si>
  <si>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</si>
  <si>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</si>
  <si>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</si>
  <si>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</si>
  <si>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</si>
  <si>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</si>
  <si>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</si>
  <si>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</si>
  <si>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</si>
  <si>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</si>
  <si>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</si>
  <si>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</si>
  <si>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</si>
  <si>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</si>
  <si>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</si>
  <si>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</si>
  <si>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</si>
  <si>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</si>
  <si>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</si>
  <si>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</si>
  <si>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</si>
  <si>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</si>
  <si>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</si>
  <si>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</si>
  <si>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</si>
  <si>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</si>
  <si>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</si>
  <si>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</si>
  <si>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</si>
  <si>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</si>
  <si>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</si>
  <si>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</si>
  <si>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</si>
  <si>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</si>
  <si>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</si>
  <si>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</si>
  <si>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</si>
  <si>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</si>
  <si>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</si>
  <si>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</si>
  <si>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</si>
  <si>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</si>
  <si>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</si>
  <si>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</si>
  <si>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</si>
  <si>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</si>
  <si>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</si>
  <si>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</si>
  <si>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</si>
  <si>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</si>
  <si>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</si>
  <si>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</si>
  <si>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</si>
  <si>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</si>
  <si>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</si>
  <si>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</si>
  <si>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</si>
  <si>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</si>
  <si>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</si>
  <si>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</si>
  <si>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</si>
  <si>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</si>
  <si>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</si>
  <si>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</si>
  <si>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</si>
  <si>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</si>
  <si>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</si>
  <si>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</si>
  <si>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</si>
  <si>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</si>
  <si>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</si>
  <si>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</si>
  <si>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</si>
  <si>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</si>
  <si>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</si>
  <si>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</si>
  <si>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</si>
  <si>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</si>
  <si>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</si>
  <si>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</si>
  <si>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</si>
  <si>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</si>
  <si>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</si>
  <si>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</si>
  <si>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</si>
  <si>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</si>
  <si>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</si>
  <si>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</si>
  <si>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</si>
  <si>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</si>
  <si>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</si>
  <si>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</si>
  <si>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</si>
  <si>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</si>
  <si>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</si>
  <si>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</si>
  <si>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</si>
  <si>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</si>
  <si>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</si>
  <si>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</si>
  <si>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</si>
  <si>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</si>
  <si>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</si>
  <si>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</si>
  <si>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</si>
  <si>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</si>
  <si>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</si>
  <si>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</si>
  <si>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</si>
  <si>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</si>
  <si>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</si>
  <si>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</si>
  <si>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</si>
  <si>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</si>
  <si>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</si>
  <si>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</si>
  <si>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</si>
  <si>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</si>
  <si>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</si>
  <si>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</si>
  <si>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</si>
  <si>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</si>
  <si>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</si>
  <si>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</si>
  <si>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</si>
  <si>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</si>
  <si>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</si>
  <si>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</si>
  <si>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</si>
  <si>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</si>
  <si>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</si>
  <si>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</si>
  <si>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</si>
  <si>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</si>
  <si>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</si>
  <si>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</si>
  <si>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</si>
  <si>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</si>
  <si>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</si>
  <si>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</si>
  <si>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</si>
  <si>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</si>
  <si>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</si>
  <si>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</si>
  <si>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</si>
  <si>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</si>
  <si>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</si>
  <si>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</si>
  <si>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</si>
  <si>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</si>
  <si>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</si>
  <si>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</si>
  <si>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</si>
  <si>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</si>
  <si>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</si>
  <si>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</si>
  <si>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</si>
  <si>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</si>
  <si>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</si>
  <si>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</si>
  <si>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</si>
  <si>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</si>
  <si>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</si>
  <si>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</si>
  <si>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</si>
  <si>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</si>
  <si>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</si>
  <si>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</si>
  <si>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</si>
  <si>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</si>
  <si>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</si>
  <si>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</si>
  <si>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А.Е. Герунов</t>
  </si>
  <si>
    <t>возврат фсс изл упл бл</t>
  </si>
  <si>
    <t>косгу 297</t>
  </si>
  <si>
    <t>мусоросборник</t>
  </si>
  <si>
    <t>Руководитель управления физической культуры и спорта администрации городского округа Тольятти</t>
  </si>
  <si>
    <t>К4000  ВЫЕЗДНЫЕ СОРЕВН - 
КОСГУ 226 - 61377,40
КОСГУ 212 -3800,00</t>
  </si>
  <si>
    <t>Директор
МБУДО СДЮСШОР № 4 "Шахматы"</t>
  </si>
  <si>
    <t>Г.Р. Салахова</t>
  </si>
  <si>
    <t>К2001 КОМАНДИРОВКИ
 КОСГУ 226 - 32 622+1232+2600
КОСГУ 212 -  2 500,00+400</t>
  </si>
  <si>
    <t>162</t>
  </si>
  <si>
    <t>поступления капитального характера бюджетным и автономным учреждениям от сектора государственного управления</t>
  </si>
  <si>
    <t>иные субсидии КВФО 5 мусоросборник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</si>
</sst>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EQ23" sqref="EO23:EQ2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2" t="s">
        <v>67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2" t="s">
        <v>52</v>
      </c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207" t="s">
        <v>284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9" t="s">
        <v>286</v>
      </c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8" t="s">
        <v>68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8" t="s">
        <v>53</v>
      </c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7" t="s">
        <v>280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7" t="s">
        <v>287</v>
      </c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8" t="s">
        <v>54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6"/>
      <c r="W5" s="16"/>
      <c r="X5" s="198" t="s">
        <v>55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8" t="s">
        <v>54</v>
      </c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 t="s">
        <v>65</v>
      </c>
      <c r="AE6" s="200"/>
      <c r="AF6" s="200"/>
      <c r="AG6" s="201"/>
      <c r="AH6" s="201"/>
      <c r="AI6" s="201"/>
      <c r="AJ6" s="202" t="s">
        <v>66</v>
      </c>
      <c r="AK6" s="202"/>
      <c r="AL6" s="29"/>
      <c r="AM6" s="18"/>
      <c r="AN6" s="18"/>
      <c r="AO6" s="18"/>
      <c r="AP6" s="18"/>
      <c r="AQ6" s="29"/>
      <c r="CH6" s="119" t="s">
        <v>56</v>
      </c>
      <c r="CI6" s="203"/>
      <c r="CJ6" s="203"/>
      <c r="CK6" s="203"/>
      <c r="CL6" s="203"/>
      <c r="CM6" s="29" t="s">
        <v>56</v>
      </c>
      <c r="CP6" s="202" t="s">
        <v>124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4">
        <v>20</v>
      </c>
      <c r="DJ6" s="204"/>
      <c r="DK6" s="204"/>
      <c r="DL6" s="203"/>
      <c r="DM6" s="203"/>
      <c r="DN6" s="203"/>
      <c r="DO6" s="203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5" t="s">
        <v>210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6" t="s">
        <v>58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4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6"/>
    </row>
    <row r="12" spans="1:155" ht="15.2" customHeight="1" x14ac:dyDescent="0.25">
      <c r="X12" s="34"/>
      <c r="Y12" s="34"/>
      <c r="Z12" s="34"/>
      <c r="AA12" s="34"/>
      <c r="AB12" s="34"/>
      <c r="AC12" s="20"/>
      <c r="AD12" s="191"/>
      <c r="AE12" s="191"/>
      <c r="AF12" s="191"/>
      <c r="AG12" s="191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35">
        <v>20</v>
      </c>
      <c r="BL12" s="193"/>
      <c r="BM12" s="193"/>
      <c r="BN12" s="193"/>
      <c r="BO12" s="193"/>
      <c r="BP12" s="193"/>
      <c r="BQ12" s="193"/>
      <c r="BR12" s="193"/>
      <c r="BS12" s="21" t="s">
        <v>57</v>
      </c>
      <c r="BT12" s="21"/>
      <c r="CT12" s="22"/>
      <c r="DH12" s="119" t="s">
        <v>60</v>
      </c>
      <c r="DJ12" s="194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</row>
    <row r="13" spans="1:155" ht="24" customHeight="1" x14ac:dyDescent="0.25">
      <c r="BH13" s="29"/>
      <c r="CT13" s="22"/>
      <c r="CU13" s="22"/>
      <c r="DH13" s="119"/>
      <c r="DJ13" s="194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6"/>
    </row>
    <row r="14" spans="1:155" ht="15" x14ac:dyDescent="0.25">
      <c r="CT14" s="22"/>
      <c r="CU14" s="22"/>
      <c r="DH14" s="119"/>
      <c r="DJ14" s="194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6"/>
    </row>
    <row r="15" spans="1:155" ht="15.2" customHeight="1" x14ac:dyDescent="0.25">
      <c r="A15" s="178" t="s">
        <v>69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47"/>
      <c r="AM15" s="47"/>
      <c r="AN15" s="47"/>
      <c r="AO15" s="178" t="s">
        <v>126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23"/>
      <c r="CT15" s="23"/>
      <c r="DH15" s="119" t="s">
        <v>61</v>
      </c>
      <c r="DJ15" s="194" t="s">
        <v>125</v>
      </c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6"/>
    </row>
    <row r="16" spans="1:155" ht="15.2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47"/>
      <c r="AM16" s="47"/>
      <c r="AN16" s="4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23"/>
      <c r="CT16" s="23"/>
      <c r="CU16" s="22"/>
      <c r="DH16" s="119"/>
      <c r="DJ16" s="194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6"/>
    </row>
    <row r="17" spans="1:165" ht="66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47"/>
      <c r="AM17" s="47"/>
      <c r="AN17" s="47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3"/>
      <c r="CT17" s="23"/>
      <c r="CU17" s="22"/>
      <c r="DH17" s="24"/>
      <c r="DJ17" s="194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5" ht="15.2" customHeight="1" x14ac:dyDescent="0.2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48"/>
      <c r="AM19" s="48"/>
      <c r="AN19" s="48"/>
      <c r="AO19" s="183" t="s">
        <v>127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25"/>
      <c r="CT19" s="25"/>
      <c r="DH19" s="26"/>
      <c r="DJ19" s="184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6"/>
    </row>
    <row r="20" spans="1:165" ht="19.5" customHeight="1" x14ac:dyDescent="0.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48"/>
      <c r="AM20" s="48"/>
      <c r="AN20" s="48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DH20" s="27" t="s">
        <v>63</v>
      </c>
      <c r="DJ20" s="184" t="s">
        <v>64</v>
      </c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65" ht="15.2" customHeight="1" x14ac:dyDescent="0.2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48"/>
      <c r="AM21" s="48"/>
      <c r="AN21" s="48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8" t="s">
        <v>70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47"/>
      <c r="AM23" s="47"/>
      <c r="AN23" s="47"/>
      <c r="AO23" s="178" t="s">
        <v>172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47"/>
      <c r="AM24" s="47"/>
      <c r="AN24" s="4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47"/>
      <c r="AM25" s="47"/>
      <c r="AN25" s="47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36"/>
      <c r="AP27" s="36"/>
      <c r="AQ27" s="36"/>
      <c r="AR27" s="36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23"/>
      <c r="DR27" s="23"/>
      <c r="DS27" s="23"/>
      <c r="DT27" s="23"/>
    </row>
    <row r="28" spans="1:165" ht="15.2" hidden="1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36"/>
      <c r="AP28" s="36"/>
      <c r="AQ28" s="36"/>
      <c r="AR28" s="36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23"/>
      <c r="DR28" s="23"/>
      <c r="DS28" s="23"/>
      <c r="DT28" s="23"/>
    </row>
    <row r="29" spans="1:165" ht="15.2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36"/>
      <c r="AP29" s="36"/>
      <c r="AQ29" s="36"/>
      <c r="AR29" s="36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80" t="s">
        <v>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8" t="s">
        <v>128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8" t="s">
        <v>131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9" t="s">
        <v>132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8" t="s">
        <v>264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Z36" s="88" t="s">
        <v>143</v>
      </c>
    </row>
    <row r="37" spans="1:165" ht="70.5" customHeight="1" x14ac:dyDescent="0.2">
      <c r="A37" s="179" t="s">
        <v>265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</row>
    <row r="38" spans="1:165" ht="24.75" customHeight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</row>
    <row r="41" spans="1:165" ht="15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275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50"/>
  <sheetViews>
    <sheetView tabSelected="1" view="pageBreakPreview" zoomScale="82" zoomScaleNormal="100" zoomScaleSheetLayoutView="82" workbookViewId="0">
      <pane ySplit="7" topLeftCell="A8" activePane="bottomLeft" state="frozen"/>
      <selection pane="bottomLeft" activeCell="BJ24" sqref="BJ24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50" t="s">
        <v>195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26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53" t="s">
        <v>9</v>
      </c>
      <c r="BF7" s="153" t="s">
        <v>10</v>
      </c>
      <c r="BG7" s="116">
        <f>BA9+BA135-BA24</f>
        <v>-12800</v>
      </c>
      <c r="BK7" s="9" t="s">
        <v>130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26">
        <f>BA10+BA11+BA16+BA17+BA18+BA20+BA23+BA15</f>
        <v>23987873.030000001</v>
      </c>
      <c r="BB9" s="126">
        <f>BB11</f>
        <v>20206953.620000001</v>
      </c>
      <c r="BC9" s="126">
        <f>BC18+BC19</f>
        <v>2113719.41</v>
      </c>
      <c r="BD9" s="126">
        <f>BD18</f>
        <v>0</v>
      </c>
      <c r="BE9" s="126">
        <f>BE10+BE11+BE16+BE17+BE20+BE23+BE15</f>
        <v>1680000</v>
      </c>
      <c r="BF9" s="126">
        <f>BF11+BF20</f>
        <v>0</v>
      </c>
      <c r="BG9" s="100"/>
    </row>
    <row r="10" spans="1:63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72" t="s">
        <v>185</v>
      </c>
      <c r="BA11" s="127">
        <f>BB11+BE11+BF11</f>
        <v>21776953.620000001</v>
      </c>
      <c r="BB11" s="128">
        <f>SUM(BB12:BB14)</f>
        <v>20206953.620000001</v>
      </c>
      <c r="BC11" s="128" t="s">
        <v>28</v>
      </c>
      <c r="BD11" s="128" t="s">
        <v>28</v>
      </c>
      <c r="BE11" s="128">
        <f>SUM(BE12:BE14)</f>
        <v>1570000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27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  <c r="AY12" s="101"/>
      <c r="AZ12" s="102" t="s">
        <v>148</v>
      </c>
      <c r="BA12" s="129"/>
      <c r="BB12" s="129">
        <f>19514541-220587.38</f>
        <v>19293953.620000001</v>
      </c>
      <c r="BC12" s="129"/>
      <c r="BD12" s="129"/>
      <c r="BE12" s="129"/>
      <c r="BF12" s="129"/>
      <c r="BG12" s="236" t="s">
        <v>145</v>
      </c>
    </row>
    <row r="13" spans="1:63" s="89" customFormat="1" ht="33.75" hidden="1" customHeight="1" x14ac:dyDescent="0.2">
      <c r="A13" s="227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36"/>
    </row>
    <row r="14" spans="1:63" s="89" customFormat="1" ht="61.5" hidden="1" customHeight="1" x14ac:dyDescent="0.2">
      <c r="A14" s="227" t="s">
        <v>151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  <c r="AY14" s="101"/>
      <c r="AZ14" s="102" t="s">
        <v>150</v>
      </c>
      <c r="BA14" s="129"/>
      <c r="BB14" s="129"/>
      <c r="BC14" s="129"/>
      <c r="BD14" s="129"/>
      <c r="BE14" s="129">
        <f>1293000+172000+50000+55000</f>
        <v>1570000</v>
      </c>
      <c r="BF14" s="129"/>
      <c r="BG14" s="236"/>
    </row>
    <row r="15" spans="1:63" s="121" customFormat="1" ht="18.75" customHeight="1" x14ac:dyDescent="0.2">
      <c r="A15" s="244" t="s">
        <v>212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8" t="s">
        <v>213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140</v>
      </c>
      <c r="AZ16" s="72" t="s">
        <v>186</v>
      </c>
      <c r="BA16" s="127">
        <f>BE16</f>
        <v>0</v>
      </c>
      <c r="BB16" s="128" t="s">
        <v>28</v>
      </c>
      <c r="BC16" s="128" t="s">
        <v>28</v>
      </c>
      <c r="BD16" s="128" t="s">
        <v>28</v>
      </c>
      <c r="BE16" s="130">
        <f>60000-60000</f>
        <v>0</v>
      </c>
      <c r="BF16" s="128" t="s">
        <v>28</v>
      </c>
      <c r="BG16" s="80" t="s">
        <v>170</v>
      </c>
    </row>
    <row r="17" spans="1:59" ht="52.5" customHeight="1" x14ac:dyDescent="0.2">
      <c r="A17" s="5"/>
      <c r="B17" s="218" t="s">
        <v>214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8" t="s">
        <v>221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160</v>
      </c>
      <c r="AZ18" s="72" t="s">
        <v>207</v>
      </c>
      <c r="BA18" s="127">
        <f>BC18+BD18</f>
        <v>2100919.41</v>
      </c>
      <c r="BB18" s="128" t="s">
        <v>28</v>
      </c>
      <c r="BC18" s="128">
        <f>16500+37380+1181900+871189.41-6050+12800-12800</f>
        <v>2100919.41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39.75" customHeight="1" x14ac:dyDescent="0.2">
      <c r="A19" s="5"/>
      <c r="B19" s="218" t="s">
        <v>290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72" t="s">
        <v>289</v>
      </c>
      <c r="BA19" s="127">
        <f>BC19+BD19</f>
        <v>12800</v>
      </c>
      <c r="BB19" s="128" t="s">
        <v>28</v>
      </c>
      <c r="BC19" s="128">
        <f>640+12160</f>
        <v>12800</v>
      </c>
      <c r="BD19" s="128">
        <v>0</v>
      </c>
      <c r="BE19" s="128" t="s">
        <v>28</v>
      </c>
      <c r="BF19" s="128" t="s">
        <v>28</v>
      </c>
      <c r="BG19" s="80" t="s">
        <v>291</v>
      </c>
    </row>
    <row r="20" spans="1:59" ht="12.75" customHeight="1" x14ac:dyDescent="0.2">
      <c r="A20" s="5"/>
      <c r="B20" s="218" t="s">
        <v>215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170</v>
      </c>
      <c r="AZ20" s="72" t="s">
        <v>187</v>
      </c>
      <c r="BA20" s="127">
        <f>BE20</f>
        <v>10000</v>
      </c>
      <c r="BB20" s="128" t="s">
        <v>28</v>
      </c>
      <c r="BC20" s="128" t="s">
        <v>28</v>
      </c>
      <c r="BD20" s="128" t="s">
        <v>28</v>
      </c>
      <c r="BE20" s="128">
        <v>10000</v>
      </c>
      <c r="BF20" s="128">
        <v>0</v>
      </c>
      <c r="BG20" s="80" t="s">
        <v>271</v>
      </c>
    </row>
    <row r="21" spans="1:59" s="89" customFormat="1" ht="19.5" hidden="1" customHeight="1" x14ac:dyDescent="0.2">
      <c r="A21" s="227" t="s">
        <v>193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01"/>
      <c r="AZ21" s="102" t="s">
        <v>194</v>
      </c>
      <c r="BA21" s="129"/>
      <c r="BB21" s="129"/>
      <c r="BC21" s="129"/>
      <c r="BD21" s="129"/>
      <c r="BE21" s="129">
        <v>0</v>
      </c>
      <c r="BF21" s="129"/>
      <c r="BG21" s="80"/>
    </row>
    <row r="22" spans="1:59" s="89" customFormat="1" ht="20.25" hidden="1" customHeight="1" x14ac:dyDescent="0.2">
      <c r="A22" s="227" t="s">
        <v>177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9"/>
      <c r="AY22" s="101"/>
      <c r="AZ22" s="102" t="s">
        <v>176</v>
      </c>
      <c r="BA22" s="129"/>
      <c r="BB22" s="129"/>
      <c r="BC22" s="129"/>
      <c r="BD22" s="129"/>
      <c r="BE22" s="129"/>
      <c r="BF22" s="129"/>
      <c r="BG22" s="80"/>
    </row>
    <row r="23" spans="1:59" ht="18.75" customHeight="1" x14ac:dyDescent="0.2">
      <c r="A23" s="5"/>
      <c r="B23" s="218" t="s">
        <v>31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>
        <v>180</v>
      </c>
      <c r="AZ23" s="72" t="s">
        <v>48</v>
      </c>
      <c r="BA23" s="127">
        <f>BE23</f>
        <v>0</v>
      </c>
      <c r="BB23" s="128" t="s">
        <v>28</v>
      </c>
      <c r="BC23" s="128" t="s">
        <v>28</v>
      </c>
      <c r="BD23" s="128" t="s">
        <v>28</v>
      </c>
      <c r="BE23" s="128">
        <v>0</v>
      </c>
      <c r="BF23" s="128">
        <v>0</v>
      </c>
    </row>
    <row r="24" spans="1:59" ht="24.75" customHeight="1" x14ac:dyDescent="0.2">
      <c r="A24" s="3"/>
      <c r="B24" s="275" t="s">
        <v>34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6"/>
      <c r="AY24" s="11">
        <v>200</v>
      </c>
      <c r="AZ24" s="72" t="s">
        <v>28</v>
      </c>
      <c r="BA24" s="126">
        <f t="shared" ref="BA24:BF24" si="0">BA25+BA43+BA46+BA63+BA65+BA66</f>
        <v>25209611.59</v>
      </c>
      <c r="BB24" s="126">
        <f t="shared" si="0"/>
        <v>21231236.130000003</v>
      </c>
      <c r="BC24" s="126">
        <f t="shared" si="0"/>
        <v>2113719.41</v>
      </c>
      <c r="BD24" s="126">
        <f t="shared" si="0"/>
        <v>0</v>
      </c>
      <c r="BE24" s="126">
        <f t="shared" si="0"/>
        <v>1864656.0499999998</v>
      </c>
      <c r="BF24" s="126">
        <f t="shared" si="0"/>
        <v>0</v>
      </c>
      <c r="BG24" s="103"/>
    </row>
    <row r="25" spans="1:59" ht="44.25" customHeight="1" x14ac:dyDescent="0.2">
      <c r="A25" s="5"/>
      <c r="B25" s="216" t="s">
        <v>35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7"/>
      <c r="AY25" s="12">
        <v>210</v>
      </c>
      <c r="AZ25" s="72"/>
      <c r="BA25" s="127">
        <f t="shared" ref="BA25:BF25" si="1">BA26+BA36+BA40</f>
        <v>19052620.369999997</v>
      </c>
      <c r="BB25" s="131">
        <f t="shared" si="1"/>
        <v>17928798.609999999</v>
      </c>
      <c r="BC25" s="131">
        <f t="shared" si="1"/>
        <v>10450</v>
      </c>
      <c r="BD25" s="131">
        <f t="shared" si="1"/>
        <v>0</v>
      </c>
      <c r="BE25" s="131">
        <f t="shared" si="1"/>
        <v>1113371.76</v>
      </c>
      <c r="BF25" s="131">
        <f t="shared" si="1"/>
        <v>0</v>
      </c>
    </row>
    <row r="26" spans="1:59" ht="39.75" customHeight="1" x14ac:dyDescent="0.2">
      <c r="A26" s="5"/>
      <c r="B26" s="216" t="s">
        <v>36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211</v>
      </c>
      <c r="AZ26" s="72"/>
      <c r="BA26" s="127">
        <f>BA27+BA32</f>
        <v>18407363.619999997</v>
      </c>
      <c r="BB26" s="131">
        <f t="shared" ref="BB26:BF26" si="2">BB27+BB32</f>
        <v>17333345.859999999</v>
      </c>
      <c r="BC26" s="131">
        <f t="shared" si="2"/>
        <v>0</v>
      </c>
      <c r="BD26" s="131">
        <f t="shared" si="2"/>
        <v>0</v>
      </c>
      <c r="BE26" s="131">
        <f>BE27+BE32</f>
        <v>1074017.76</v>
      </c>
      <c r="BF26" s="131">
        <f t="shared" si="2"/>
        <v>0</v>
      </c>
    </row>
    <row r="27" spans="1:59" ht="20.25" customHeight="1" x14ac:dyDescent="0.2">
      <c r="A27" s="6"/>
      <c r="B27" s="7"/>
      <c r="C27" s="218" t="s">
        <v>216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72" t="s">
        <v>15</v>
      </c>
      <c r="BA27" s="127">
        <f>BB27+BC27+BD27+BE27</f>
        <v>14172107.52</v>
      </c>
      <c r="BB27" s="128">
        <f>BB28+BB31+BB30+BB29</f>
        <v>13351833.939999999</v>
      </c>
      <c r="BC27" s="128">
        <v>0</v>
      </c>
      <c r="BD27" s="128">
        <v>0</v>
      </c>
      <c r="BE27" s="128">
        <f>600000+50427-164000+129700+152873+24000+27273.58</f>
        <v>820273.58</v>
      </c>
      <c r="BF27" s="128">
        <v>0</v>
      </c>
      <c r="BG27" s="80" t="s">
        <v>237</v>
      </c>
    </row>
    <row r="28" spans="1:59" s="89" customFormat="1" ht="12.75" hidden="1" customHeight="1" x14ac:dyDescent="0.2">
      <c r="A28" s="124"/>
      <c r="B28" s="125"/>
      <c r="C28" s="228" t="s">
        <v>239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9"/>
      <c r="AY28" s="101"/>
      <c r="AZ28" s="102"/>
      <c r="BA28" s="129"/>
      <c r="BB28" s="129">
        <f>12040512-30000</f>
        <v>12010512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70" t="s">
        <v>249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1"/>
      <c r="AY29" s="101"/>
      <c r="AZ29" s="102"/>
      <c r="BA29" s="129"/>
      <c r="BB29" s="129">
        <f>30000+3405.87</f>
        <v>33405.870000000003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8" t="s">
        <v>204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01"/>
      <c r="AZ30" s="102"/>
      <c r="BA30" s="129"/>
      <c r="BB30" s="129">
        <v>700000</v>
      </c>
      <c r="BC30" s="129"/>
      <c r="BD30" s="129"/>
      <c r="BE30" s="129"/>
      <c r="BF30" s="129"/>
      <c r="BG30" s="106"/>
    </row>
    <row r="31" spans="1:59" s="89" customFormat="1" ht="12.75" hidden="1" customHeight="1" x14ac:dyDescent="0.2">
      <c r="A31" s="124"/>
      <c r="B31" s="125"/>
      <c r="C31" s="228" t="s">
        <v>168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9"/>
      <c r="AY31" s="101"/>
      <c r="AZ31" s="102"/>
      <c r="BA31" s="129"/>
      <c r="BB31" s="129">
        <f>135783.32+458469.03+13663.72</f>
        <v>607916.07000000007</v>
      </c>
      <c r="BC31" s="129"/>
      <c r="BD31" s="129"/>
      <c r="BE31" s="129"/>
      <c r="BF31" s="129"/>
      <c r="BG31" s="106"/>
    </row>
    <row r="32" spans="1:59" ht="51" customHeight="1" x14ac:dyDescent="0.2">
      <c r="A32" s="136"/>
      <c r="B32" s="155"/>
      <c r="C32" s="218" t="s">
        <v>217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72" t="s">
        <v>16</v>
      </c>
      <c r="BA32" s="127">
        <f>BB32+BC32+BD32+BE32</f>
        <v>4235256.0999999996</v>
      </c>
      <c r="BB32" s="128">
        <f>BB33+BB35+BB34</f>
        <v>3981511.92</v>
      </c>
      <c r="BC32" s="128">
        <v>0</v>
      </c>
      <c r="BD32" s="128">
        <v>0</v>
      </c>
      <c r="BE32" s="128">
        <f>181000+15229.12-53686.05+39113+50479.76-159.65+7768+14000</f>
        <v>253744.18000000002</v>
      </c>
      <c r="BF32" s="128">
        <v>0</v>
      </c>
      <c r="BG32" s="80" t="s">
        <v>152</v>
      </c>
    </row>
    <row r="33" spans="1:59" s="89" customFormat="1" ht="17.25" hidden="1" customHeight="1" x14ac:dyDescent="0.2">
      <c r="A33" s="122"/>
      <c r="B33" s="228" t="str">
        <f>C28</f>
        <v>мз КОСГУ 211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9"/>
      <c r="AY33" s="101"/>
      <c r="AZ33" s="102"/>
      <c r="BA33" s="129"/>
      <c r="BB33" s="129">
        <f>3546171+46005.67-3000</f>
        <v>3589176.67</v>
      </c>
      <c r="BC33" s="129"/>
      <c r="BD33" s="129"/>
      <c r="BE33" s="129"/>
      <c r="BF33" s="129"/>
      <c r="BG33" s="106"/>
    </row>
    <row r="34" spans="1:59" s="89" customFormat="1" ht="21.75" hidden="1" customHeight="1" x14ac:dyDescent="0.2">
      <c r="A34" s="122"/>
      <c r="B34" s="228" t="str">
        <f>C30</f>
        <v>дотация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9"/>
      <c r="AY34" s="101"/>
      <c r="AZ34" s="102"/>
      <c r="BA34" s="129"/>
      <c r="BB34" s="129">
        <v>213000</v>
      </c>
      <c r="BC34" s="129"/>
      <c r="BD34" s="129"/>
      <c r="BE34" s="129"/>
      <c r="BF34" s="129"/>
      <c r="BG34" s="106"/>
    </row>
    <row r="35" spans="1:59" s="89" customFormat="1" ht="19.5" hidden="1" customHeight="1" x14ac:dyDescent="0.2">
      <c r="A35" s="122"/>
      <c r="B35" s="228" t="s">
        <v>168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9"/>
      <c r="AY35" s="101"/>
      <c r="AZ35" s="102"/>
      <c r="BA35" s="129"/>
      <c r="BB35" s="129">
        <f>40056.08+135248.37+4030.8</f>
        <v>179335.25</v>
      </c>
      <c r="BC35" s="129"/>
      <c r="BD35" s="129"/>
      <c r="BE35" s="129"/>
      <c r="BF35" s="129"/>
      <c r="BG35" s="106"/>
    </row>
    <row r="36" spans="1:59" ht="28.5" customHeight="1" x14ac:dyDescent="0.2">
      <c r="A36" s="136"/>
      <c r="B36" s="155"/>
      <c r="C36" s="218" t="s">
        <v>222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2" t="s">
        <v>14</v>
      </c>
      <c r="BA36" s="127">
        <f>BB36+BC36+BD36+BE36</f>
        <v>122781.4</v>
      </c>
      <c r="BB36" s="128">
        <f>BB37+BB39</f>
        <v>72977.399999999994</v>
      </c>
      <c r="BC36" s="128">
        <f>16500-6050</f>
        <v>10450</v>
      </c>
      <c r="BD36" s="128">
        <v>0</v>
      </c>
      <c r="BE36" s="128">
        <f>BE38</f>
        <v>39354</v>
      </c>
      <c r="BF36" s="128">
        <v>0</v>
      </c>
      <c r="BG36" s="80" t="s">
        <v>272</v>
      </c>
    </row>
    <row r="37" spans="1:59" s="89" customFormat="1" ht="21.75" hidden="1" customHeight="1" x14ac:dyDescent="0.2">
      <c r="A37" s="122"/>
      <c r="B37" s="228" t="s">
        <v>240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1"/>
      <c r="AZ37" s="102"/>
      <c r="BA37" s="129"/>
      <c r="BB37" s="129">
        <v>7800</v>
      </c>
      <c r="BC37" s="129"/>
      <c r="BD37" s="129"/>
      <c r="BE37" s="129"/>
      <c r="BF37" s="129"/>
      <c r="BG37" s="106"/>
    </row>
    <row r="38" spans="1:59" s="89" customFormat="1" ht="41.25" hidden="1" customHeight="1" x14ac:dyDescent="0.2">
      <c r="A38" s="122"/>
      <c r="B38" s="228" t="s">
        <v>288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1"/>
      <c r="AZ38" s="102"/>
      <c r="BA38" s="129"/>
      <c r="BB38" s="129"/>
      <c r="BC38" s="129"/>
      <c r="BD38" s="129"/>
      <c r="BE38" s="129">
        <f>2500+27133+5489+1232+400+2600</f>
        <v>39354</v>
      </c>
      <c r="BF38" s="129"/>
      <c r="BG38" s="106"/>
    </row>
    <row r="39" spans="1:59" s="89" customFormat="1" ht="39.75" hidden="1" customHeight="1" x14ac:dyDescent="0.2">
      <c r="A39" s="122"/>
      <c r="B39" s="228" t="s">
        <v>285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9"/>
      <c r="AY39" s="101"/>
      <c r="AZ39" s="102"/>
      <c r="BA39" s="129"/>
      <c r="BB39" s="129">
        <f>45600+2900-8080+2100+28252.75-1200-4395.35</f>
        <v>65177.4</v>
      </c>
      <c r="BC39" s="129"/>
      <c r="BD39" s="129"/>
      <c r="BE39" s="129"/>
      <c r="BF39" s="129"/>
      <c r="BG39" s="106"/>
    </row>
    <row r="40" spans="1:59" ht="50.25" customHeight="1" x14ac:dyDescent="0.2">
      <c r="A40" s="136"/>
      <c r="B40" s="155"/>
      <c r="C40" s="218" t="s">
        <v>223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72" t="s">
        <v>20</v>
      </c>
      <c r="BA40" s="127">
        <f>BB40+BC40+BD40+BE40</f>
        <v>522475.35</v>
      </c>
      <c r="BB40" s="128">
        <f>BB41+BB42</f>
        <v>522475.35</v>
      </c>
      <c r="BC40" s="128">
        <v>0</v>
      </c>
      <c r="BD40" s="128">
        <v>0</v>
      </c>
      <c r="BE40" s="128"/>
      <c r="BF40" s="128">
        <v>0</v>
      </c>
    </row>
    <row r="41" spans="1:59" s="89" customFormat="1" ht="21.75" hidden="1" customHeight="1" x14ac:dyDescent="0.2">
      <c r="A41" s="122"/>
      <c r="B41" s="228" t="s">
        <v>247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101"/>
      <c r="AZ41" s="102"/>
      <c r="BA41" s="129"/>
      <c r="BB41" s="129">
        <v>447475.35</v>
      </c>
      <c r="BC41" s="129"/>
      <c r="BD41" s="129"/>
      <c r="BE41" s="129"/>
      <c r="BF41" s="129"/>
      <c r="BG41" s="106"/>
    </row>
    <row r="42" spans="1:59" s="89" customFormat="1" ht="21.75" hidden="1" customHeight="1" x14ac:dyDescent="0.2">
      <c r="A42" s="122"/>
      <c r="B42" s="228" t="s">
        <v>241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9"/>
      <c r="AY42" s="101"/>
      <c r="AZ42" s="102"/>
      <c r="BA42" s="129"/>
      <c r="BB42" s="129">
        <v>75000</v>
      </c>
      <c r="BC42" s="129"/>
      <c r="BD42" s="129"/>
      <c r="BE42" s="129"/>
      <c r="BF42" s="129"/>
      <c r="BG42" s="106"/>
    </row>
    <row r="43" spans="1:59" ht="24" customHeight="1" x14ac:dyDescent="0.2">
      <c r="A43" s="5"/>
      <c r="B43" s="216" t="s">
        <v>37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7"/>
      <c r="AY43" s="12">
        <v>220</v>
      </c>
      <c r="AZ43" s="72"/>
      <c r="BA43" s="127">
        <f>BA45</f>
        <v>0</v>
      </c>
      <c r="BB43" s="131">
        <f t="shared" ref="BB43:BF43" si="3">BB45</f>
        <v>0</v>
      </c>
      <c r="BC43" s="131">
        <f t="shared" si="3"/>
        <v>0</v>
      </c>
      <c r="BD43" s="131">
        <f t="shared" si="3"/>
        <v>0</v>
      </c>
      <c r="BE43" s="131">
        <f t="shared" si="3"/>
        <v>0</v>
      </c>
      <c r="BF43" s="131">
        <f t="shared" si="3"/>
        <v>0</v>
      </c>
    </row>
    <row r="44" spans="1:59" ht="12.75" customHeight="1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2"/>
      <c r="BA44" s="127"/>
      <c r="BB44" s="128"/>
      <c r="BC44" s="128"/>
      <c r="BD44" s="128"/>
      <c r="BE44" s="128"/>
      <c r="BF44" s="128"/>
    </row>
    <row r="45" spans="1:59" ht="14.25" customHeight="1" x14ac:dyDescent="0.2">
      <c r="A45" s="136"/>
      <c r="B45" s="155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2" t="s">
        <v>17</v>
      </c>
      <c r="BA45" s="127">
        <f>BB45+BC45+BD45+BE45</f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</row>
    <row r="46" spans="1:59" ht="12.75" customHeight="1" x14ac:dyDescent="0.2">
      <c r="A46" s="136"/>
      <c r="B46" s="155"/>
      <c r="C46" s="216" t="s">
        <v>38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>
        <v>230</v>
      </c>
      <c r="AZ46" s="72"/>
      <c r="BA46" s="127">
        <f t="shared" ref="BA46:BF46" si="4">BA52+BA55+BA59+BA48</f>
        <v>375306.26</v>
      </c>
      <c r="BB46" s="131">
        <f t="shared" si="4"/>
        <v>176781.62</v>
      </c>
      <c r="BC46" s="131">
        <f t="shared" si="4"/>
        <v>178179.51</v>
      </c>
      <c r="BD46" s="131">
        <f t="shared" si="4"/>
        <v>0</v>
      </c>
      <c r="BE46" s="131">
        <f t="shared" si="4"/>
        <v>20345.13</v>
      </c>
      <c r="BF46" s="131">
        <f t="shared" si="4"/>
        <v>0</v>
      </c>
    </row>
    <row r="47" spans="1:59" ht="18" customHeight="1" x14ac:dyDescent="0.2">
      <c r="A47" s="136"/>
      <c r="B47" s="155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2"/>
      <c r="BA47" s="127"/>
      <c r="BB47" s="128"/>
      <c r="BC47" s="128"/>
      <c r="BD47" s="128"/>
      <c r="BE47" s="128"/>
      <c r="BF47" s="128"/>
    </row>
    <row r="48" spans="1:59" ht="36.75" customHeight="1" x14ac:dyDescent="0.2">
      <c r="A48" s="247" t="s">
        <v>218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9"/>
      <c r="AY48" s="8"/>
      <c r="AZ48" s="72" t="s">
        <v>144</v>
      </c>
      <c r="BA48" s="127">
        <f>BB48+BC48+BD48+BE48</f>
        <v>193578.37</v>
      </c>
      <c r="BB48" s="128"/>
      <c r="BC48" s="128">
        <f>BC49+BC51+BC50</f>
        <v>178179.51</v>
      </c>
      <c r="BD48" s="128">
        <v>0</v>
      </c>
      <c r="BE48" s="128">
        <f>BE49+BE50+BE51</f>
        <v>15398.86</v>
      </c>
      <c r="BF48" s="128">
        <v>0</v>
      </c>
      <c r="BG48" s="80" t="s">
        <v>190</v>
      </c>
    </row>
    <row r="49" spans="1:63" s="89" customFormat="1" ht="27.75" hidden="1" customHeight="1" x14ac:dyDescent="0.2">
      <c r="A49" s="272" t="s">
        <v>273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4"/>
      <c r="AY49" s="101"/>
      <c r="AZ49" s="102"/>
      <c r="BA49" s="129"/>
      <c r="BB49" s="129"/>
      <c r="BC49" s="129">
        <f>17025.64+20023</f>
        <v>37048.639999999999</v>
      </c>
      <c r="BD49" s="129"/>
      <c r="BE49" s="129">
        <f>10911.36</f>
        <v>10911.36</v>
      </c>
      <c r="BF49" s="129"/>
      <c r="BG49" s="106"/>
    </row>
    <row r="50" spans="1:63" s="89" customFormat="1" ht="16.5" hidden="1" customHeight="1" x14ac:dyDescent="0.2">
      <c r="A50" s="227" t="s">
        <v>274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101"/>
      <c r="AZ50" s="102"/>
      <c r="BA50" s="129"/>
      <c r="BB50" s="129"/>
      <c r="BC50" s="129">
        <f>104874.36+36256.51</f>
        <v>141130.87</v>
      </c>
      <c r="BD50" s="129"/>
      <c r="BE50" s="129">
        <v>1487.5</v>
      </c>
      <c r="BF50" s="129"/>
      <c r="BG50" s="106"/>
    </row>
    <row r="51" spans="1:63" s="89" customFormat="1" ht="16.5" hidden="1" customHeight="1" x14ac:dyDescent="0.2">
      <c r="A51" s="227" t="s">
        <v>279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9"/>
      <c r="AY51" s="101"/>
      <c r="AZ51" s="102"/>
      <c r="BA51" s="129"/>
      <c r="BB51" s="129"/>
      <c r="BC51" s="129"/>
      <c r="BD51" s="129"/>
      <c r="BE51" s="129">
        <v>3000</v>
      </c>
      <c r="BF51" s="129"/>
      <c r="BG51" s="106"/>
    </row>
    <row r="52" spans="1:63" ht="28.5" customHeight="1" x14ac:dyDescent="0.2">
      <c r="A52" s="135"/>
      <c r="B52" s="218" t="s">
        <v>219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9"/>
      <c r="AY52" s="8"/>
      <c r="AZ52" s="72" t="s">
        <v>21</v>
      </c>
      <c r="BA52" s="127">
        <f>BB52+BC52+BD52+BE52</f>
        <v>156652.62</v>
      </c>
      <c r="BB52" s="128">
        <f>SUM(BB53:BB54)</f>
        <v>156652.62</v>
      </c>
      <c r="BC52" s="128">
        <v>0</v>
      </c>
      <c r="BD52" s="128">
        <v>0</v>
      </c>
      <c r="BE52" s="128">
        <v>0</v>
      </c>
      <c r="BF52" s="128">
        <v>0</v>
      </c>
      <c r="BG52" s="80" t="s">
        <v>183</v>
      </c>
    </row>
    <row r="53" spans="1:63" s="89" customFormat="1" ht="12.75" hidden="1" customHeight="1" x14ac:dyDescent="0.2">
      <c r="A53" s="211" t="s">
        <v>243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3"/>
      <c r="AY53" s="101"/>
      <c r="AZ53" s="102"/>
      <c r="BA53" s="129"/>
      <c r="BB53" s="129">
        <f>351159-220587.38</f>
        <v>130571.62</v>
      </c>
      <c r="BC53" s="129"/>
      <c r="BD53" s="129"/>
      <c r="BE53" s="129"/>
      <c r="BF53" s="129"/>
      <c r="BG53" s="106"/>
    </row>
    <row r="54" spans="1:63" s="89" customFormat="1" ht="12.75" hidden="1" customHeight="1" x14ac:dyDescent="0.2">
      <c r="A54" s="211" t="s">
        <v>242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3"/>
      <c r="AY54" s="101"/>
      <c r="AZ54" s="102"/>
      <c r="BA54" s="129"/>
      <c r="BB54" s="129">
        <f>290270-264189</f>
        <v>26081</v>
      </c>
      <c r="BC54" s="129"/>
      <c r="BD54" s="129"/>
      <c r="BE54" s="129"/>
      <c r="BF54" s="129"/>
      <c r="BG54" s="106"/>
    </row>
    <row r="55" spans="1:63" ht="12.75" customHeight="1" x14ac:dyDescent="0.2">
      <c r="A55" s="6"/>
      <c r="B55" s="7"/>
      <c r="C55" s="218" t="s">
        <v>224</v>
      </c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9"/>
      <c r="AY55" s="8"/>
      <c r="AZ55" s="72" t="s">
        <v>18</v>
      </c>
      <c r="BA55" s="127">
        <f>BB55+BC55+BD55+BE55</f>
        <v>20129</v>
      </c>
      <c r="BB55" s="128">
        <f>BB56+BB57+BB58</f>
        <v>20129</v>
      </c>
      <c r="BC55" s="128">
        <v>0</v>
      </c>
      <c r="BD55" s="128">
        <v>0</v>
      </c>
      <c r="BE55" s="128">
        <f>SUM(BE56:BE58)</f>
        <v>0</v>
      </c>
      <c r="BF55" s="128">
        <v>0</v>
      </c>
    </row>
    <row r="56" spans="1:63" s="89" customFormat="1" ht="12.75" hidden="1" customHeight="1" x14ac:dyDescent="0.2">
      <c r="A56" s="211" t="s">
        <v>244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3"/>
      <c r="AY56" s="101"/>
      <c r="AZ56" s="102"/>
      <c r="BA56" s="129"/>
      <c r="BB56" s="129">
        <v>1451</v>
      </c>
      <c r="BC56" s="129"/>
      <c r="BD56" s="129"/>
      <c r="BE56" s="129"/>
      <c r="BF56" s="129"/>
      <c r="BG56" s="106"/>
    </row>
    <row r="57" spans="1:63" s="89" customFormat="1" ht="17.25" hidden="1" customHeight="1" x14ac:dyDescent="0.2">
      <c r="A57" s="211" t="s">
        <v>245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3"/>
      <c r="AY57" s="101"/>
      <c r="AZ57" s="102"/>
      <c r="BA57" s="129"/>
      <c r="BB57" s="129">
        <f>33580-18358+3000</f>
        <v>18222</v>
      </c>
      <c r="BC57" s="129"/>
      <c r="BD57" s="129"/>
      <c r="BE57" s="129"/>
      <c r="BF57" s="129"/>
      <c r="BG57" s="106"/>
    </row>
    <row r="58" spans="1:63" s="89" customFormat="1" ht="12.75" hidden="1" customHeight="1" x14ac:dyDescent="0.2">
      <c r="A58" s="211" t="s">
        <v>246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3"/>
      <c r="AY58" s="101"/>
      <c r="AZ58" s="102"/>
      <c r="BA58" s="129"/>
      <c r="BB58" s="129">
        <v>456</v>
      </c>
      <c r="BC58" s="129"/>
      <c r="BD58" s="129"/>
      <c r="BE58" s="129">
        <f>2000+7000-2400-3850-2750</f>
        <v>0</v>
      </c>
      <c r="BF58" s="129"/>
      <c r="BG58" s="106"/>
    </row>
    <row r="59" spans="1:63" ht="12.75" x14ac:dyDescent="0.2">
      <c r="A59" s="136"/>
      <c r="B59" s="155"/>
      <c r="C59" s="218" t="s">
        <v>225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9"/>
      <c r="AY59" s="8"/>
      <c r="AZ59" s="72" t="s">
        <v>19</v>
      </c>
      <c r="BA59" s="127">
        <f t="shared" ref="BA59" si="5">BB59+BC59+BD59+BE59</f>
        <v>4946.2699999999995</v>
      </c>
      <c r="BB59" s="128">
        <f>SUM(BB60:BB62)</f>
        <v>0</v>
      </c>
      <c r="BC59" s="128">
        <v>0</v>
      </c>
      <c r="BD59" s="128">
        <v>0</v>
      </c>
      <c r="BE59" s="128">
        <f>SUM(BE60:BE62)</f>
        <v>4946.2699999999995</v>
      </c>
      <c r="BF59" s="128">
        <v>0</v>
      </c>
      <c r="BG59" s="214" t="s">
        <v>276</v>
      </c>
      <c r="BH59" s="215"/>
      <c r="BI59" s="215"/>
      <c r="BJ59" s="215"/>
      <c r="BK59" s="215"/>
    </row>
    <row r="60" spans="1:63" s="89" customFormat="1" ht="30" hidden="1" customHeight="1" x14ac:dyDescent="0.2">
      <c r="A60" s="211" t="s">
        <v>281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3"/>
      <c r="AY60" s="101"/>
      <c r="AZ60" s="102"/>
      <c r="BA60" s="129"/>
      <c r="BB60" s="129"/>
      <c r="BC60" s="129"/>
      <c r="BD60" s="129"/>
      <c r="BE60" s="129">
        <v>2258.02</v>
      </c>
      <c r="BF60" s="129"/>
      <c r="BG60" s="106" t="s">
        <v>282</v>
      </c>
    </row>
    <row r="61" spans="1:63" s="89" customFormat="1" ht="30" hidden="1" customHeight="1" x14ac:dyDescent="0.2">
      <c r="A61" s="211" t="s">
        <v>268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3"/>
      <c r="AY61" s="101"/>
      <c r="AZ61" s="102"/>
      <c r="BA61" s="129"/>
      <c r="BB61" s="129"/>
      <c r="BC61" s="129"/>
      <c r="BD61" s="129"/>
      <c r="BE61" s="129">
        <f>2000-159.65+688.25</f>
        <v>2528.6</v>
      </c>
      <c r="BF61" s="129"/>
      <c r="BG61" s="106" t="s">
        <v>267</v>
      </c>
    </row>
    <row r="62" spans="1:63" s="89" customFormat="1" ht="12.75" hidden="1" customHeight="1" x14ac:dyDescent="0.2">
      <c r="A62" s="211" t="s">
        <v>278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3"/>
      <c r="AY62" s="101"/>
      <c r="AZ62" s="102"/>
      <c r="BA62" s="129"/>
      <c r="BB62" s="129">
        <f>6290.89-6290.89</f>
        <v>0</v>
      </c>
      <c r="BC62" s="129"/>
      <c r="BD62" s="129"/>
      <c r="BE62" s="129">
        <v>159.65</v>
      </c>
      <c r="BF62" s="129"/>
      <c r="BG62" s="106" t="s">
        <v>277</v>
      </c>
    </row>
    <row r="63" spans="1:63" ht="12.75" customHeight="1" x14ac:dyDescent="0.2">
      <c r="A63" s="136"/>
      <c r="B63" s="155"/>
      <c r="C63" s="216" t="s">
        <v>39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7"/>
      <c r="AY63" s="12">
        <v>240</v>
      </c>
      <c r="AZ63" s="72"/>
      <c r="BA63" s="127"/>
      <c r="BB63" s="131"/>
      <c r="BC63" s="131"/>
      <c r="BD63" s="131"/>
      <c r="BE63" s="131"/>
      <c r="BF63" s="131"/>
    </row>
    <row r="64" spans="1:63" ht="12.75" customHeight="1" x14ac:dyDescent="0.2">
      <c r="A64" s="136"/>
      <c r="B64" s="155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9"/>
      <c r="AY64" s="8"/>
      <c r="AZ64" s="72"/>
      <c r="BA64" s="127"/>
      <c r="BB64" s="128"/>
      <c r="BC64" s="128"/>
      <c r="BD64" s="128"/>
      <c r="BE64" s="128"/>
      <c r="BF64" s="128"/>
    </row>
    <row r="65" spans="1:59" ht="12.75" customHeight="1" x14ac:dyDescent="0.2">
      <c r="A65" s="136"/>
      <c r="B65" s="155"/>
      <c r="C65" s="216" t="s">
        <v>40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7"/>
      <c r="AY65" s="12">
        <v>250</v>
      </c>
      <c r="AZ65" s="72" t="s">
        <v>49</v>
      </c>
      <c r="BA65" s="127">
        <f>BD65</f>
        <v>0</v>
      </c>
      <c r="BB65" s="131">
        <v>0</v>
      </c>
      <c r="BC65" s="131">
        <v>0</v>
      </c>
      <c r="BD65" s="131">
        <v>0</v>
      </c>
      <c r="BE65" s="131">
        <v>0</v>
      </c>
      <c r="BF65" s="131">
        <v>0</v>
      </c>
      <c r="BG65" s="80" t="s">
        <v>50</v>
      </c>
    </row>
    <row r="66" spans="1:59" ht="15.75" customHeight="1" x14ac:dyDescent="0.2">
      <c r="A66" s="5"/>
      <c r="B66" s="216" t="s">
        <v>226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7"/>
      <c r="AY66" s="12">
        <v>260</v>
      </c>
      <c r="AZ66" s="72" t="s">
        <v>13</v>
      </c>
      <c r="BA66" s="127">
        <f>BB66+BC66+BD66+BE66</f>
        <v>5781684.9600000009</v>
      </c>
      <c r="BB66" s="131">
        <f>SUM(BB67:BB102)</f>
        <v>3125655.9000000004</v>
      </c>
      <c r="BC66" s="131">
        <f>SUM(BC67:BC126)</f>
        <v>1925089.9</v>
      </c>
      <c r="BD66" s="131">
        <v>0</v>
      </c>
      <c r="BE66" s="131">
        <f>SUM(BE67:BE126)</f>
        <v>730939.16</v>
      </c>
      <c r="BF66" s="131">
        <v>0</v>
      </c>
    </row>
    <row r="67" spans="1:59" s="89" customFormat="1" ht="12.75" hidden="1" customHeight="1" x14ac:dyDescent="0.2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33">
        <v>4000</v>
      </c>
      <c r="AZ67" s="102" t="s">
        <v>153</v>
      </c>
      <c r="BA67" s="129"/>
      <c r="BB67" s="129">
        <f>44400-1924.21</f>
        <v>42475.79</v>
      </c>
      <c r="BC67" s="129"/>
      <c r="BD67" s="129"/>
      <c r="BE67" s="129"/>
      <c r="BF67" s="129"/>
      <c r="BG67" s="236" t="s">
        <v>145</v>
      </c>
    </row>
    <row r="68" spans="1:59" s="89" customFormat="1" ht="12.75" hidden="1" customHeight="1" x14ac:dyDescent="0.2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34"/>
      <c r="AZ68" s="102" t="s">
        <v>154</v>
      </c>
      <c r="BA68" s="129"/>
      <c r="BB68" s="129">
        <v>1158837</v>
      </c>
      <c r="BC68" s="129"/>
      <c r="BD68" s="129"/>
      <c r="BE68" s="129"/>
      <c r="BF68" s="129"/>
      <c r="BG68" s="236"/>
    </row>
    <row r="69" spans="1:59" s="89" customFormat="1" ht="12.75" hidden="1" customHeight="1" x14ac:dyDescent="0.2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34"/>
      <c r="AZ69" s="102" t="s">
        <v>155</v>
      </c>
      <c r="BA69" s="129"/>
      <c r="BB69" s="129">
        <v>939762</v>
      </c>
      <c r="BC69" s="129"/>
      <c r="BD69" s="129"/>
      <c r="BE69" s="129"/>
      <c r="BF69" s="129"/>
      <c r="BG69" s="236"/>
    </row>
    <row r="70" spans="1:59" s="89" customFormat="1" ht="12.75" hidden="1" customHeight="1" x14ac:dyDescent="0.2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9"/>
      <c r="AY70" s="234"/>
      <c r="AZ70" s="102" t="s">
        <v>156</v>
      </c>
      <c r="BA70" s="129"/>
      <c r="BB70" s="129">
        <v>51063</v>
      </c>
      <c r="BC70" s="129"/>
      <c r="BD70" s="129"/>
      <c r="BE70" s="129"/>
      <c r="BF70" s="129"/>
      <c r="BG70" s="236"/>
    </row>
    <row r="71" spans="1:59" s="89" customFormat="1" ht="12.75" hidden="1" customHeight="1" x14ac:dyDescent="0.2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7"/>
      <c r="AY71" s="234"/>
      <c r="AZ71" s="102" t="s">
        <v>250</v>
      </c>
      <c r="BA71" s="129"/>
      <c r="BB71" s="129">
        <f>20002.54-1009.72</f>
        <v>18992.82</v>
      </c>
      <c r="BC71" s="129"/>
      <c r="BD71" s="129"/>
      <c r="BE71" s="129"/>
      <c r="BF71" s="129"/>
      <c r="BG71" s="236"/>
    </row>
    <row r="72" spans="1:59" s="89" customFormat="1" ht="12.75" hidden="1" customHeight="1" x14ac:dyDescent="0.2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34"/>
      <c r="AZ72" s="102" t="s">
        <v>157</v>
      </c>
      <c r="BA72" s="129"/>
      <c r="BB72" s="129">
        <f>457193.28+31073.92-20002.54-27000-22473.92-46842-947.68-11140.5-16000-25150.25</f>
        <v>318710.31000000006</v>
      </c>
      <c r="BC72" s="129"/>
      <c r="BD72" s="129"/>
      <c r="BE72" s="129"/>
      <c r="BF72" s="129"/>
      <c r="BG72" s="236"/>
    </row>
    <row r="73" spans="1:59" s="89" customFormat="1" ht="12.75" hidden="1" customHeight="1" x14ac:dyDescent="0.2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34"/>
      <c r="AZ73" s="102" t="s">
        <v>158</v>
      </c>
      <c r="BA73" s="129"/>
      <c r="BB73" s="129">
        <f>763004.02-50313.7-132000+53358+27000+1809.7-380652.75-1160-2489.36</f>
        <v>278555.91000000003</v>
      </c>
      <c r="BC73" s="129"/>
      <c r="BD73" s="129"/>
      <c r="BE73" s="129"/>
      <c r="BF73" s="129"/>
      <c r="BG73" s="236"/>
    </row>
    <row r="74" spans="1:59" s="89" customFormat="1" ht="12.75" hidden="1" customHeight="1" x14ac:dyDescent="0.2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9"/>
      <c r="AY74" s="234"/>
      <c r="AZ74" s="102" t="s">
        <v>235</v>
      </c>
      <c r="BA74" s="129"/>
      <c r="BB74" s="129"/>
      <c r="BC74" s="129"/>
      <c r="BD74" s="129"/>
      <c r="BE74" s="129"/>
      <c r="BF74" s="129"/>
      <c r="BG74" s="236"/>
    </row>
    <row r="75" spans="1:59" s="89" customFormat="1" ht="12.75" hidden="1" customHeight="1" x14ac:dyDescent="0.2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9"/>
      <c r="AY75" s="234"/>
      <c r="AZ75" s="102" t="s">
        <v>234</v>
      </c>
      <c r="BA75" s="129"/>
      <c r="BB75" s="129">
        <f>37260+20664.22+5607-179.5</f>
        <v>63351.72</v>
      </c>
      <c r="BC75" s="129"/>
      <c r="BD75" s="129"/>
      <c r="BE75" s="129"/>
      <c r="BF75" s="129"/>
      <c r="BG75" s="236"/>
    </row>
    <row r="76" spans="1:59" s="89" customFormat="1" ht="12.75" hidden="1" customHeight="1" x14ac:dyDescent="0.2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34"/>
      <c r="AZ76" s="102" t="s">
        <v>233</v>
      </c>
      <c r="BA76" s="129"/>
      <c r="BB76" s="129">
        <f>749+4988</f>
        <v>5737</v>
      </c>
      <c r="BC76" s="129"/>
      <c r="BD76" s="129"/>
      <c r="BE76" s="129"/>
      <c r="BF76" s="129"/>
      <c r="BG76" s="236"/>
    </row>
    <row r="77" spans="1:59" s="89" customFormat="1" ht="12.75" hidden="1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4"/>
      <c r="AZ77" s="102" t="s">
        <v>236</v>
      </c>
      <c r="BA77" s="129"/>
      <c r="BB77" s="129">
        <f>4500+1210</f>
        <v>5710</v>
      </c>
      <c r="BC77" s="129"/>
      <c r="BD77" s="129"/>
      <c r="BE77" s="129"/>
      <c r="BF77" s="129"/>
      <c r="BG77" s="236"/>
    </row>
    <row r="78" spans="1:59" s="89" customFormat="1" ht="12.75" hidden="1" customHeight="1" x14ac:dyDescent="0.2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9"/>
      <c r="AY78" s="234"/>
      <c r="AZ78" s="102" t="s">
        <v>205</v>
      </c>
      <c r="BA78" s="129"/>
      <c r="BB78" s="129">
        <f>127408.7-75878.22-749+40644-4659.32+12480+16000-480</f>
        <v>114766.16</v>
      </c>
      <c r="BC78" s="129"/>
      <c r="BD78" s="129"/>
      <c r="BE78" s="129"/>
      <c r="BF78" s="129"/>
      <c r="BG78" s="236"/>
    </row>
    <row r="79" spans="1:59" s="89" customFormat="1" ht="12.75" hidden="1" customHeight="1" x14ac:dyDescent="0.2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9"/>
      <c r="AY79" s="234"/>
      <c r="AZ79" s="102" t="s">
        <v>232</v>
      </c>
      <c r="BA79" s="129"/>
      <c r="BB79" s="129">
        <v>0</v>
      </c>
      <c r="BC79" s="129"/>
      <c r="BD79" s="129"/>
      <c r="BE79" s="129"/>
      <c r="BF79" s="129"/>
      <c r="BG79" s="236"/>
    </row>
    <row r="80" spans="1:59" s="89" customFormat="1" ht="12.75" hidden="1" customHeight="1" x14ac:dyDescent="0.2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9"/>
      <c r="AY80" s="234"/>
      <c r="AZ80" s="102"/>
      <c r="BA80" s="129"/>
      <c r="BB80" s="129"/>
      <c r="BC80" s="129"/>
      <c r="BD80" s="129"/>
      <c r="BE80" s="129"/>
      <c r="BF80" s="129"/>
      <c r="BG80" s="236"/>
    </row>
    <row r="81" spans="1:60" s="89" customFormat="1" ht="12.75" hidden="1" customHeight="1" x14ac:dyDescent="0.2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9"/>
      <c r="AY81" s="234"/>
      <c r="AZ81" s="102"/>
      <c r="BA81" s="129"/>
      <c r="BB81" s="129"/>
      <c r="BC81" s="129"/>
      <c r="BD81" s="129"/>
      <c r="BE81" s="129"/>
      <c r="BF81" s="129"/>
      <c r="BG81" s="236"/>
    </row>
    <row r="82" spans="1:60" s="89" customFormat="1" ht="12.75" hidden="1" customHeight="1" x14ac:dyDescent="0.2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9"/>
      <c r="AY82" s="237">
        <v>4199</v>
      </c>
      <c r="AZ82" s="102" t="s">
        <v>153</v>
      </c>
      <c r="BA82" s="129"/>
      <c r="BB82" s="129">
        <f>8533.5-3963.52</f>
        <v>4569.9799999999996</v>
      </c>
      <c r="BC82" s="129"/>
      <c r="BD82" s="129"/>
      <c r="BE82" s="129"/>
      <c r="BF82" s="129"/>
      <c r="BG82" s="236"/>
    </row>
    <row r="83" spans="1:60" s="89" customFormat="1" ht="12.75" hidden="1" customHeight="1" x14ac:dyDescent="0.2">
      <c r="A83" s="227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9"/>
      <c r="AY83" s="237"/>
      <c r="AZ83" s="102" t="s">
        <v>154</v>
      </c>
      <c r="BA83" s="129"/>
      <c r="BB83" s="129">
        <f>139969.5-72278.83</f>
        <v>67690.67</v>
      </c>
      <c r="BC83" s="129"/>
      <c r="BD83" s="129"/>
      <c r="BE83" s="129"/>
      <c r="BF83" s="129"/>
      <c r="BG83" s="236"/>
      <c r="BH83" s="137"/>
    </row>
    <row r="84" spans="1:60" s="89" customFormat="1" ht="12.75" hidden="1" customHeight="1" x14ac:dyDescent="0.2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9"/>
      <c r="AY84" s="237"/>
      <c r="AZ84" s="102" t="s">
        <v>155</v>
      </c>
      <c r="BA84" s="129"/>
      <c r="BB84" s="129">
        <f>536761.64-507770.47</f>
        <v>28991.170000000042</v>
      </c>
      <c r="BC84" s="129"/>
      <c r="BD84" s="129"/>
      <c r="BE84" s="129"/>
      <c r="BF84" s="129"/>
      <c r="BG84" s="236"/>
    </row>
    <row r="85" spans="1:60" s="89" customFormat="1" ht="12.75" hidden="1" customHeight="1" x14ac:dyDescent="0.2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9"/>
      <c r="AY85" s="237"/>
      <c r="AZ85" s="102" t="s">
        <v>156</v>
      </c>
      <c r="BA85" s="129"/>
      <c r="BB85" s="129">
        <f>16489.57-13668.1</f>
        <v>2821.4699999999993</v>
      </c>
      <c r="BC85" s="129"/>
      <c r="BD85" s="129"/>
      <c r="BE85" s="129"/>
      <c r="BF85" s="129"/>
      <c r="BG85" s="236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37"/>
      <c r="AZ86" s="102" t="s">
        <v>157</v>
      </c>
      <c r="BA86" s="129"/>
      <c r="BB86" s="129">
        <f>4163.41+11384.49</f>
        <v>15547.9</v>
      </c>
      <c r="BC86" s="129"/>
      <c r="BD86" s="129"/>
      <c r="BE86" s="129"/>
      <c r="BF86" s="129"/>
      <c r="BG86" s="236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37"/>
      <c r="AZ87" s="102" t="s">
        <v>205</v>
      </c>
      <c r="BA87" s="129"/>
      <c r="BB87" s="129">
        <f>21804-21804</f>
        <v>0</v>
      </c>
      <c r="BC87" s="129"/>
      <c r="BD87" s="129"/>
      <c r="BE87" s="129"/>
      <c r="BF87" s="129"/>
      <c r="BG87" s="236"/>
    </row>
    <row r="88" spans="1:60" s="89" customFormat="1" ht="12.75" hidden="1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37"/>
      <c r="AZ88" s="102" t="s">
        <v>234</v>
      </c>
      <c r="BA88" s="129"/>
      <c r="BB88" s="129">
        <f>21804-13731</f>
        <v>8073</v>
      </c>
      <c r="BC88" s="129"/>
      <c r="BD88" s="129"/>
      <c r="BE88" s="129"/>
      <c r="BF88" s="129"/>
      <c r="BG88" s="236"/>
    </row>
    <row r="89" spans="1:60" s="89" customFormat="1" ht="12.75" hidden="1" customHeight="1" x14ac:dyDescent="0.2">
      <c r="A89" s="138"/>
      <c r="B89" s="243" t="s">
        <v>283</v>
      </c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9"/>
      <c r="AY89" s="237"/>
      <c r="AZ89" s="102" t="s">
        <v>163</v>
      </c>
      <c r="BA89" s="129"/>
      <c r="BB89" s="129"/>
      <c r="BC89" s="129">
        <v>12800</v>
      </c>
      <c r="BD89" s="129"/>
      <c r="BE89" s="129"/>
      <c r="BF89" s="129"/>
      <c r="BG89" s="236"/>
    </row>
    <row r="90" spans="1:60" s="89" customFormat="1" ht="12.75" hidden="1" customHeight="1" x14ac:dyDescent="0.2">
      <c r="A90" s="138"/>
      <c r="B90" s="133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9"/>
      <c r="AY90" s="237"/>
      <c r="AZ90" s="102"/>
      <c r="BA90" s="129"/>
      <c r="BB90" s="129"/>
      <c r="BC90" s="129"/>
      <c r="BD90" s="129"/>
      <c r="BE90" s="129"/>
      <c r="BF90" s="129"/>
      <c r="BG90" s="236"/>
    </row>
    <row r="91" spans="1:60" s="89" customFormat="1" ht="12.75" hidden="1" customHeight="1" x14ac:dyDescent="0.2">
      <c r="A91" s="138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/>
      <c r="AY91" s="237"/>
      <c r="AZ91" s="102"/>
      <c r="BA91" s="129"/>
      <c r="BB91" s="129"/>
      <c r="BC91" s="129"/>
      <c r="BD91" s="129"/>
      <c r="BE91" s="129"/>
      <c r="BF91" s="129"/>
      <c r="BG91" s="236"/>
    </row>
    <row r="92" spans="1:60" s="89" customFormat="1" ht="12.75" hidden="1" customHeight="1" x14ac:dyDescent="0.2">
      <c r="A92" s="227" t="s">
        <v>169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9"/>
      <c r="AY92" s="101"/>
      <c r="AZ92" s="102" t="s">
        <v>206</v>
      </c>
      <c r="BA92" s="129"/>
      <c r="BB92" s="129"/>
      <c r="BC92" s="129">
        <f>13696+4248</f>
        <v>17944</v>
      </c>
      <c r="BD92" s="129"/>
      <c r="BE92" s="129"/>
      <c r="BF92" s="129"/>
      <c r="BG92" s="236"/>
    </row>
    <row r="93" spans="1:60" s="89" customFormat="1" ht="12.75" hidden="1" customHeight="1" x14ac:dyDescent="0.2">
      <c r="A93" s="227" t="s">
        <v>169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9"/>
      <c r="AY93" s="101"/>
      <c r="AZ93" s="102" t="s">
        <v>158</v>
      </c>
      <c r="BA93" s="129"/>
      <c r="BB93" s="129"/>
      <c r="BC93" s="129">
        <f>23684-9227.65</f>
        <v>14456.35</v>
      </c>
      <c r="BD93" s="129"/>
      <c r="BE93" s="129"/>
      <c r="BF93" s="129"/>
      <c r="BG93" s="236"/>
    </row>
    <row r="94" spans="1:60" s="89" customFormat="1" ht="14.25" hidden="1" customHeight="1" x14ac:dyDescent="0.2">
      <c r="A94" s="227" t="s">
        <v>169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9"/>
      <c r="AY94" s="101"/>
      <c r="AZ94" s="102" t="s">
        <v>205</v>
      </c>
      <c r="BA94" s="129"/>
      <c r="BB94" s="129"/>
      <c r="BC94" s="129">
        <v>4979.6499999999996</v>
      </c>
      <c r="BD94" s="129"/>
      <c r="BE94" s="129"/>
      <c r="BF94" s="129"/>
      <c r="BG94" s="236"/>
    </row>
    <row r="95" spans="1:60" s="89" customFormat="1" ht="14.25" hidden="1" customHeight="1" x14ac:dyDescent="0.2">
      <c r="A95" s="227" t="s">
        <v>173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9"/>
      <c r="AY95" s="101"/>
      <c r="AZ95" s="102" t="s">
        <v>157</v>
      </c>
      <c r="BA95" s="129"/>
      <c r="BB95" s="129"/>
      <c r="BC95" s="129">
        <f>1060000+814909.9</f>
        <v>1874909.9</v>
      </c>
      <c r="BD95" s="129"/>
      <c r="BE95" s="129"/>
      <c r="BF95" s="129"/>
      <c r="BG95" s="236"/>
    </row>
    <row r="96" spans="1:60" s="89" customFormat="1" ht="14.25" hidden="1" customHeight="1" x14ac:dyDescent="0.2">
      <c r="A96" s="227" t="s">
        <v>173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9"/>
      <c r="AY96" s="101"/>
      <c r="AZ96" s="102"/>
      <c r="BA96" s="129"/>
      <c r="BB96" s="129"/>
      <c r="BC96" s="129"/>
      <c r="BD96" s="129"/>
      <c r="BE96" s="129"/>
      <c r="BF96" s="129"/>
      <c r="BG96" s="236"/>
    </row>
    <row r="97" spans="1:63" s="89" customFormat="1" ht="14.25" hidden="1" customHeight="1" x14ac:dyDescent="0.2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9"/>
      <c r="AY97" s="233">
        <v>2001</v>
      </c>
      <c r="AZ97" s="102" t="s">
        <v>235</v>
      </c>
      <c r="BA97" s="129"/>
      <c r="BB97" s="129"/>
      <c r="BC97" s="129"/>
      <c r="BD97" s="129"/>
      <c r="BE97" s="129">
        <f>4585.09-4585.09</f>
        <v>0</v>
      </c>
      <c r="BF97" s="129"/>
      <c r="BG97" s="236"/>
    </row>
    <row r="98" spans="1:63" s="89" customFormat="1" ht="24.75" hidden="1" customHeight="1" x14ac:dyDescent="0.2">
      <c r="A98" s="227" t="s">
        <v>266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9"/>
      <c r="AY98" s="234"/>
      <c r="AZ98" s="102" t="s">
        <v>205</v>
      </c>
      <c r="BA98" s="129"/>
      <c r="BB98" s="129"/>
      <c r="BC98" s="129"/>
      <c r="BD98" s="129"/>
      <c r="BE98" s="129">
        <v>10000</v>
      </c>
      <c r="BF98" s="129"/>
      <c r="BG98" s="236"/>
    </row>
    <row r="99" spans="1:63" s="89" customFormat="1" ht="14.25" hidden="1" customHeight="1" x14ac:dyDescent="0.2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3"/>
      <c r="AY99" s="234"/>
      <c r="AZ99" s="102" t="s">
        <v>153</v>
      </c>
      <c r="BA99" s="129"/>
      <c r="BB99" s="129"/>
      <c r="BC99" s="129"/>
      <c r="BD99" s="129"/>
      <c r="BE99" s="129">
        <f>24000+2198+23864-1031.34</f>
        <v>49030.66</v>
      </c>
      <c r="BF99" s="129"/>
      <c r="BG99" s="236"/>
    </row>
    <row r="100" spans="1:63" s="89" customFormat="1" ht="14.25" hidden="1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 t="s">
        <v>251</v>
      </c>
      <c r="AY100" s="234"/>
      <c r="AZ100" s="102" t="s">
        <v>159</v>
      </c>
      <c r="BA100" s="129"/>
      <c r="BB100" s="129"/>
      <c r="BC100" s="129"/>
      <c r="BD100" s="129"/>
      <c r="BE100" s="129">
        <v>15280.04</v>
      </c>
      <c r="BF100" s="129"/>
      <c r="BG100" s="236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160</v>
      </c>
      <c r="AY101" s="234"/>
      <c r="AZ101" s="102" t="s">
        <v>159</v>
      </c>
      <c r="BA101" s="129"/>
      <c r="BB101" s="129"/>
      <c r="BC101" s="129"/>
      <c r="BD101" s="129"/>
      <c r="BE101" s="129">
        <f>72000+7000+8000</f>
        <v>87000</v>
      </c>
      <c r="BF101" s="129"/>
      <c r="BG101" s="236"/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 t="s">
        <v>161</v>
      </c>
      <c r="AY102" s="234"/>
      <c r="AZ102" s="102" t="s">
        <v>159</v>
      </c>
      <c r="BA102" s="129"/>
      <c r="BB102" s="129"/>
      <c r="BC102" s="129"/>
      <c r="BD102" s="129"/>
      <c r="BE102" s="129">
        <f>53000-39.91</f>
        <v>52960.09</v>
      </c>
      <c r="BF102" s="129"/>
      <c r="BG102" s="236"/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 t="s">
        <v>162</v>
      </c>
      <c r="AY103" s="234"/>
      <c r="AZ103" s="102" t="s">
        <v>159</v>
      </c>
      <c r="BA103" s="129"/>
      <c r="BB103" s="129"/>
      <c r="BC103" s="129"/>
      <c r="BD103" s="129"/>
      <c r="BE103" s="129">
        <v>5000</v>
      </c>
      <c r="BF103" s="129"/>
      <c r="BG103" s="236"/>
      <c r="BH103" s="90" t="s">
        <v>231</v>
      </c>
      <c r="BI103" s="91" t="s">
        <v>164</v>
      </c>
      <c r="BJ103" s="91" t="s">
        <v>165</v>
      </c>
      <c r="BK103" s="91" t="s">
        <v>139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34"/>
      <c r="AZ104" s="102" t="s">
        <v>157</v>
      </c>
      <c r="BA104" s="129"/>
      <c r="BB104" s="129"/>
      <c r="BC104" s="129"/>
      <c r="BD104" s="129"/>
      <c r="BE104" s="129">
        <f>80000+1187-13560.38-15280.04-20035.78+1413.3</f>
        <v>33724.1</v>
      </c>
      <c r="BF104" s="129"/>
      <c r="BG104" s="236"/>
      <c r="BH104" s="90">
        <v>221</v>
      </c>
      <c r="BI104" s="92">
        <f>BE99+BE120</f>
        <v>50345.020000000004</v>
      </c>
      <c r="BJ104" s="92">
        <f>BB67+BB82</f>
        <v>47045.770000000004</v>
      </c>
      <c r="BK104" s="92">
        <f>BI104+BJ104</f>
        <v>97390.790000000008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34"/>
      <c r="AZ105" s="102" t="s">
        <v>158</v>
      </c>
      <c r="BA105" s="129"/>
      <c r="BB105" s="129"/>
      <c r="BC105" s="129"/>
      <c r="BD105" s="129"/>
      <c r="BE105" s="129">
        <f>37110+7700</f>
        <v>44810</v>
      </c>
      <c r="BF105" s="129"/>
      <c r="BG105" s="236"/>
      <c r="BH105" s="90">
        <v>349</v>
      </c>
      <c r="BI105" s="92">
        <v>0</v>
      </c>
      <c r="BJ105" s="92">
        <f>BC92</f>
        <v>17944</v>
      </c>
      <c r="BK105" s="92">
        <f t="shared" ref="BK105:BK116" si="6">BI105+BJ105</f>
        <v>17944</v>
      </c>
    </row>
    <row r="106" spans="1:63" s="89" customFormat="1" ht="14.25" hidden="1" customHeight="1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 s="234"/>
      <c r="AZ106" s="102" t="s">
        <v>163</v>
      </c>
      <c r="BA106" s="129"/>
      <c r="BB106" s="129"/>
      <c r="BC106" s="129"/>
      <c r="BD106" s="129"/>
      <c r="BE106" s="129">
        <f>146000+216209.92-40544.36-135000-29554.98-3000+167.34+10000+2726.42</f>
        <v>167004.34000000005</v>
      </c>
      <c r="BF106" s="129"/>
      <c r="BG106" s="236"/>
      <c r="BH106" s="90">
        <v>223</v>
      </c>
      <c r="BI106" s="92">
        <f>BE101+BE102+BE103+BE117+BE118+BE119+BE100</f>
        <v>368178.96</v>
      </c>
      <c r="BJ106" s="92">
        <f>BB68+BB69+BB70+BB83+BB84+BB85+BB71</f>
        <v>2268158.13</v>
      </c>
      <c r="BK106" s="92">
        <f t="shared" si="6"/>
        <v>2636337.09</v>
      </c>
    </row>
    <row r="107" spans="1:63" s="89" customFormat="1" ht="14.25" hidden="1" customHeight="1" x14ac:dyDescent="0.2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3"/>
      <c r="AY107" s="234"/>
      <c r="AZ107" s="102" t="s">
        <v>234</v>
      </c>
      <c r="BA107" s="129"/>
      <c r="BB107" s="129"/>
      <c r="BC107" s="129"/>
      <c r="BD107" s="129"/>
      <c r="BE107" s="129">
        <v>37552.5</v>
      </c>
      <c r="BF107" s="129"/>
      <c r="BG107" s="236"/>
      <c r="BH107" s="90">
        <v>225</v>
      </c>
      <c r="BI107" s="92">
        <f>BE104+BE112+BE121</f>
        <v>33724.1</v>
      </c>
      <c r="BJ107" s="92">
        <f>BB72+BB86+BC95</f>
        <v>2209168.11</v>
      </c>
      <c r="BK107" s="92">
        <f t="shared" si="6"/>
        <v>2242892.21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34"/>
      <c r="AZ108" s="102" t="s">
        <v>233</v>
      </c>
      <c r="BA108" s="129"/>
      <c r="BB108" s="129"/>
      <c r="BC108" s="129"/>
      <c r="BD108" s="129"/>
      <c r="BE108" s="129">
        <f>33813-33813</f>
        <v>0</v>
      </c>
      <c r="BF108" s="129"/>
      <c r="BG108" s="236"/>
      <c r="BH108" s="90">
        <v>226</v>
      </c>
      <c r="BI108" s="92">
        <f>BE105+BE123</f>
        <v>45110</v>
      </c>
      <c r="BJ108" s="92">
        <f>BB73+BC93</f>
        <v>293012.26</v>
      </c>
      <c r="BK108" s="92">
        <f t="shared" si="6"/>
        <v>338122.26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34"/>
      <c r="AZ109" s="102" t="s">
        <v>236</v>
      </c>
      <c r="BA109" s="129"/>
      <c r="BB109" s="129"/>
      <c r="BC109" s="129"/>
      <c r="BD109" s="129"/>
      <c r="BE109" s="129"/>
      <c r="BF109" s="129"/>
      <c r="BG109" s="236"/>
      <c r="BH109" s="90">
        <v>290</v>
      </c>
      <c r="BI109" s="92">
        <f>BE114</f>
        <v>0</v>
      </c>
      <c r="BJ109" s="92"/>
      <c r="BK109" s="92">
        <f t="shared" si="6"/>
        <v>0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234"/>
      <c r="AZ110" s="102" t="s">
        <v>205</v>
      </c>
      <c r="BA110" s="129"/>
      <c r="BB110" s="129"/>
      <c r="BC110" s="129"/>
      <c r="BD110" s="129"/>
      <c r="BE110" s="129">
        <f>85000-39335.58-12325.5-18888.92</f>
        <v>14450</v>
      </c>
      <c r="BF110" s="129"/>
      <c r="BG110" s="236"/>
      <c r="BH110" s="90">
        <v>310</v>
      </c>
      <c r="BI110" s="92">
        <f>BE106+BE115+BE124</f>
        <v>170204.34000000005</v>
      </c>
      <c r="BJ110" s="92">
        <f>BC89</f>
        <v>12800</v>
      </c>
      <c r="BK110" s="92">
        <f t="shared" si="6"/>
        <v>183004.34000000005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235"/>
      <c r="AZ111" s="102" t="s">
        <v>232</v>
      </c>
      <c r="BA111" s="129"/>
      <c r="BB111" s="129"/>
      <c r="BC111" s="129"/>
      <c r="BD111" s="129"/>
      <c r="BE111" s="129">
        <v>0</v>
      </c>
      <c r="BF111" s="129"/>
      <c r="BG111" s="236"/>
      <c r="BH111" s="90">
        <v>343</v>
      </c>
      <c r="BI111" s="92">
        <f>BE107+BE122</f>
        <v>38926.74</v>
      </c>
      <c r="BJ111" s="92">
        <f>BB75+BB88</f>
        <v>71424.72</v>
      </c>
      <c r="BK111" s="92">
        <f t="shared" si="6"/>
        <v>110351.45999999999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101">
        <v>2006</v>
      </c>
      <c r="AZ112" s="102" t="s">
        <v>157</v>
      </c>
      <c r="BA112" s="129"/>
      <c r="BB112" s="129"/>
      <c r="BC112" s="129"/>
      <c r="BD112" s="129"/>
      <c r="BE112" s="129">
        <f>60000-60000</f>
        <v>0</v>
      </c>
      <c r="BF112" s="129"/>
      <c r="BG112" s="236"/>
      <c r="BH112" s="90">
        <v>344</v>
      </c>
      <c r="BI112" s="92">
        <f>BE108+BE125</f>
        <v>0</v>
      </c>
      <c r="BJ112" s="92">
        <f>BB76</f>
        <v>5737</v>
      </c>
      <c r="BK112" s="92">
        <f t="shared" si="6"/>
        <v>5737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101"/>
      <c r="AZ113" s="102"/>
      <c r="BA113" s="129"/>
      <c r="BB113" s="129"/>
      <c r="BC113" s="129"/>
      <c r="BD113" s="129"/>
      <c r="BE113" s="129"/>
      <c r="BF113" s="129"/>
      <c r="BG113" s="236"/>
      <c r="BH113" s="90">
        <v>345</v>
      </c>
      <c r="BI113" s="93">
        <f>BE109</f>
        <v>0</v>
      </c>
      <c r="BJ113" s="93">
        <f>BB77</f>
        <v>5710</v>
      </c>
      <c r="BK113" s="92">
        <f t="shared" si="6"/>
        <v>5710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40">
        <v>2010</v>
      </c>
      <c r="AZ114" s="102" t="s">
        <v>192</v>
      </c>
      <c r="BA114" s="129"/>
      <c r="BB114" s="129"/>
      <c r="BC114" s="129"/>
      <c r="BD114" s="129"/>
      <c r="BE114" s="129">
        <v>0</v>
      </c>
      <c r="BF114" s="129"/>
      <c r="BG114" s="236"/>
      <c r="BH114" s="90">
        <v>346</v>
      </c>
      <c r="BI114" s="92">
        <f>BE110+BE116+BE126+BE98</f>
        <v>24450</v>
      </c>
      <c r="BJ114" s="92">
        <f>BB78+BB87+BC94</f>
        <v>119745.81</v>
      </c>
      <c r="BK114" s="92">
        <f t="shared" si="6"/>
        <v>144195.81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241"/>
      <c r="AZ115" s="102" t="s">
        <v>163</v>
      </c>
      <c r="BA115" s="129"/>
      <c r="BB115" s="129"/>
      <c r="BC115" s="129"/>
      <c r="BD115" s="129"/>
      <c r="BE115" s="129">
        <v>3200</v>
      </c>
      <c r="BF115" s="129"/>
      <c r="BG115" s="236"/>
      <c r="BH115" s="90">
        <v>353</v>
      </c>
      <c r="BI115" s="93">
        <f>BE111</f>
        <v>0</v>
      </c>
      <c r="BJ115" s="93">
        <f>BB79</f>
        <v>0</v>
      </c>
      <c r="BK115" s="92">
        <f t="shared" si="6"/>
        <v>0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/>
      <c r="AY116" s="242"/>
      <c r="AZ116" s="102" t="s">
        <v>205</v>
      </c>
      <c r="BA116" s="129"/>
      <c r="BB116" s="129"/>
      <c r="BC116" s="129"/>
      <c r="BD116" s="129"/>
      <c r="BE116" s="129">
        <f>30000-30000</f>
        <v>0</v>
      </c>
      <c r="BF116" s="129"/>
      <c r="BG116" s="236"/>
      <c r="BH116" s="90">
        <v>227</v>
      </c>
      <c r="BI116" s="92">
        <f>BE97</f>
        <v>0</v>
      </c>
      <c r="BJ116" s="92">
        <f>BB74</f>
        <v>0</v>
      </c>
      <c r="BK116" s="92">
        <f t="shared" si="6"/>
        <v>0</v>
      </c>
      <c r="BL116" s="123">
        <f>BI134+BJ134</f>
        <v>3313919.4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160</v>
      </c>
      <c r="AY117" s="240">
        <v>2011</v>
      </c>
      <c r="AZ117" s="102" t="s">
        <v>159</v>
      </c>
      <c r="BA117" s="129"/>
      <c r="BB117" s="129"/>
      <c r="BC117" s="129"/>
      <c r="BD117" s="129"/>
      <c r="BE117" s="129">
        <f>66000+101671.83</f>
        <v>167671.83000000002</v>
      </c>
      <c r="BF117" s="129"/>
      <c r="BG117" s="236"/>
      <c r="BH117" s="90" t="s">
        <v>139</v>
      </c>
      <c r="BI117" s="93">
        <f>SUM(BI104:BI116)</f>
        <v>730939.16</v>
      </c>
      <c r="BJ117" s="93">
        <f>SUM(BJ104:BJ116)</f>
        <v>5050745.7999999989</v>
      </c>
      <c r="BK117" s="93">
        <f>SUM(BK104:BK116)</f>
        <v>5781684.959999999</v>
      </c>
      <c r="BL117" s="123">
        <f>BI135+BJ135</f>
        <v>1171507.51</v>
      </c>
    </row>
    <row r="118" spans="1:64" s="89" customFormat="1" ht="14.25" hidden="1" customHeight="1" x14ac:dyDescent="0.2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1" t="s">
        <v>161</v>
      </c>
      <c r="AY118" s="241"/>
      <c r="AZ118" s="102" t="s">
        <v>159</v>
      </c>
      <c r="BA118" s="129"/>
      <c r="BB118" s="129"/>
      <c r="BC118" s="129"/>
      <c r="BD118" s="129"/>
      <c r="BE118" s="129">
        <f>30000+5750</f>
        <v>35750</v>
      </c>
      <c r="BF118" s="129"/>
      <c r="BG118" s="236"/>
      <c r="BI118" s="164">
        <f>BE66-BI117</f>
        <v>0</v>
      </c>
      <c r="BJ118" s="164">
        <f>BB66+BC66-BJ117</f>
        <v>0</v>
      </c>
      <c r="BK118" s="164">
        <f>BA66-BK117</f>
        <v>0</v>
      </c>
      <c r="BL118" s="123">
        <f>BI136+BJ136</f>
        <v>95953.97</v>
      </c>
    </row>
    <row r="119" spans="1:64" s="89" customFormat="1" ht="14.25" hidden="1" customHeight="1" x14ac:dyDescent="0.2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1" t="s">
        <v>162</v>
      </c>
      <c r="AY119" s="242"/>
      <c r="AZ119" s="102" t="s">
        <v>159</v>
      </c>
      <c r="BA119" s="129"/>
      <c r="BB119" s="129"/>
      <c r="BC119" s="129"/>
      <c r="BD119" s="129"/>
      <c r="BE119" s="129">
        <f>4000+517</f>
        <v>4517</v>
      </c>
      <c r="BF119" s="129"/>
      <c r="BG119" s="236"/>
      <c r="BL119" s="123">
        <f>BI137+BJ137</f>
        <v>4581380.88</v>
      </c>
    </row>
    <row r="120" spans="1:64" s="89" customFormat="1" ht="14.25" hidden="1" customHeight="1" x14ac:dyDescent="0.2">
      <c r="A120" s="227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9"/>
      <c r="AY120" s="233">
        <v>2019</v>
      </c>
      <c r="AZ120" s="102" t="s">
        <v>153</v>
      </c>
      <c r="BA120" s="129"/>
      <c r="BB120" s="129"/>
      <c r="BC120" s="129"/>
      <c r="BD120" s="129"/>
      <c r="BE120" s="129">
        <f>24000+1314.36-24000</f>
        <v>1314.3600000000006</v>
      </c>
      <c r="BF120" s="129"/>
      <c r="BG120" s="236"/>
    </row>
    <row r="121" spans="1:64" s="89" customFormat="1" ht="14.25" hidden="1" customHeight="1" x14ac:dyDescent="0.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9"/>
      <c r="AY121" s="234"/>
      <c r="AZ121" s="102" t="s">
        <v>157</v>
      </c>
      <c r="BA121" s="129"/>
      <c r="BB121" s="129"/>
      <c r="BC121" s="129"/>
      <c r="BD121" s="129"/>
      <c r="BE121" s="129">
        <f>18000-18000</f>
        <v>0</v>
      </c>
      <c r="BF121" s="129"/>
      <c r="BG121" s="236"/>
    </row>
    <row r="122" spans="1:64" s="89" customFormat="1" ht="14.25" hidden="1" customHeight="1" x14ac:dyDescent="0.2">
      <c r="A122" s="161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3"/>
      <c r="AY122" s="234"/>
      <c r="AZ122" s="102" t="s">
        <v>234</v>
      </c>
      <c r="BA122" s="129"/>
      <c r="BB122" s="129"/>
      <c r="BC122" s="129"/>
      <c r="BD122" s="129"/>
      <c r="BE122" s="129">
        <f>2861.74-1487.5</f>
        <v>1374.2399999999998</v>
      </c>
      <c r="BF122" s="129"/>
      <c r="BG122" s="236"/>
    </row>
    <row r="123" spans="1:64" s="89" customFormat="1" ht="14.25" hidden="1" customHeight="1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9"/>
      <c r="AY123" s="234"/>
      <c r="AZ123" s="102" t="s">
        <v>158</v>
      </c>
      <c r="BA123" s="129"/>
      <c r="BB123" s="129"/>
      <c r="BC123" s="129"/>
      <c r="BD123" s="129"/>
      <c r="BE123" s="129">
        <f>60000+300-60000</f>
        <v>300</v>
      </c>
      <c r="BF123" s="129"/>
      <c r="BG123" s="236"/>
    </row>
    <row r="124" spans="1:64" s="89" customFormat="1" ht="14.25" hidden="1" customHeight="1" x14ac:dyDescent="0.2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1"/>
      <c r="AY124" s="234"/>
      <c r="AZ124" s="102" t="s">
        <v>163</v>
      </c>
      <c r="BA124" s="129"/>
      <c r="BB124" s="129"/>
      <c r="BC124" s="129"/>
      <c r="BD124" s="129"/>
      <c r="BE124" s="129">
        <v>0</v>
      </c>
      <c r="BF124" s="129"/>
      <c r="BG124" s="236"/>
      <c r="BH124" s="96" t="s">
        <v>180</v>
      </c>
      <c r="BI124" s="96"/>
      <c r="BJ124" s="96"/>
    </row>
    <row r="125" spans="1:64" s="89" customFormat="1" ht="14.25" hidden="1" customHeight="1" x14ac:dyDescent="0.2">
      <c r="A125" s="227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9"/>
      <c r="AY125" s="234"/>
      <c r="AZ125" s="102" t="s">
        <v>233</v>
      </c>
      <c r="BA125" s="129"/>
      <c r="BB125" s="129"/>
      <c r="BC125" s="129"/>
      <c r="BD125" s="129"/>
      <c r="BE125" s="129"/>
      <c r="BF125" s="129"/>
      <c r="BG125" s="236"/>
      <c r="BH125" s="97">
        <v>2001</v>
      </c>
      <c r="BI125" s="98">
        <v>69041.119999999995</v>
      </c>
      <c r="BJ125" s="230">
        <f>BI125+BI126+BI127+BI128+BI129+BI130+BI131</f>
        <v>1208938.56</v>
      </c>
    </row>
    <row r="126" spans="1:64" s="89" customFormat="1" ht="12.75" hidden="1" customHeight="1" x14ac:dyDescent="0.2">
      <c r="A126" s="227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9"/>
      <c r="AY126" s="235"/>
      <c r="AZ126" s="102" t="s">
        <v>205</v>
      </c>
      <c r="BA126" s="129"/>
      <c r="BB126" s="129"/>
      <c r="BC126" s="129"/>
      <c r="BD126" s="129"/>
      <c r="BE126" s="129">
        <f>60861.74-60861.74</f>
        <v>0</v>
      </c>
      <c r="BF126" s="129"/>
      <c r="BG126" s="236"/>
      <c r="BH126" s="97">
        <v>2010</v>
      </c>
      <c r="BI126" s="98">
        <v>3200</v>
      </c>
      <c r="BJ126" s="231"/>
    </row>
    <row r="127" spans="1:64" ht="12.75" customHeight="1" x14ac:dyDescent="0.2">
      <c r="A127" s="6"/>
      <c r="B127" s="7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9"/>
      <c r="AY127" s="8"/>
      <c r="AZ127" s="72"/>
      <c r="BA127" s="127"/>
      <c r="BB127" s="128"/>
      <c r="BC127" s="128"/>
      <c r="BD127" s="128"/>
      <c r="BE127" s="128"/>
      <c r="BF127" s="128"/>
      <c r="BH127" s="97">
        <v>2011</v>
      </c>
      <c r="BI127" s="98">
        <v>107938.83</v>
      </c>
      <c r="BJ127" s="231"/>
    </row>
    <row r="128" spans="1:64" ht="12.75" customHeight="1" x14ac:dyDescent="0.2">
      <c r="A128" s="136"/>
      <c r="B128" s="155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9"/>
      <c r="AY128" s="8"/>
      <c r="AZ128" s="72"/>
      <c r="BA128" s="127"/>
      <c r="BB128" s="128"/>
      <c r="BC128" s="128"/>
      <c r="BD128" s="128"/>
      <c r="BE128" s="128"/>
      <c r="BF128" s="128"/>
      <c r="BH128" s="97">
        <v>2019</v>
      </c>
      <c r="BI128" s="98">
        <v>4476.1000000000004</v>
      </c>
      <c r="BJ128" s="231"/>
    </row>
    <row r="129" spans="1:63" ht="12.75" customHeight="1" x14ac:dyDescent="0.2">
      <c r="A129" s="5"/>
      <c r="B129" s="218" t="s">
        <v>41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8">
        <v>300</v>
      </c>
      <c r="AZ129" s="72" t="s">
        <v>28</v>
      </c>
      <c r="BA129" s="127">
        <f t="shared" ref="BA129:BA134" si="7">BB129+BC129+BD129+BF129</f>
        <v>0</v>
      </c>
      <c r="BB129" s="128"/>
      <c r="BC129" s="128"/>
      <c r="BD129" s="128"/>
      <c r="BE129" s="128"/>
      <c r="BF129" s="128"/>
      <c r="BH129" s="97">
        <f>2026</f>
        <v>2026</v>
      </c>
      <c r="BI129" s="98"/>
      <c r="BJ129" s="232"/>
    </row>
    <row r="130" spans="1:63" ht="12.75" customHeight="1" x14ac:dyDescent="0.2">
      <c r="A130" s="6"/>
      <c r="B130" s="7"/>
      <c r="C130" s="218" t="s">
        <v>42</v>
      </c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9"/>
      <c r="AY130" s="8">
        <v>310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7">
        <v>2021</v>
      </c>
      <c r="BI130" s="98"/>
      <c r="BJ130" s="104"/>
    </row>
    <row r="131" spans="1:63" ht="12.75" customHeight="1" x14ac:dyDescent="0.2">
      <c r="A131" s="136"/>
      <c r="B131" s="155"/>
      <c r="C131" s="218" t="s">
        <v>43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9"/>
      <c r="AY131" s="8">
        <v>320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97">
        <v>4000</v>
      </c>
      <c r="BI131" s="98">
        <v>1024282.51</v>
      </c>
      <c r="BJ131" s="104"/>
    </row>
    <row r="132" spans="1:63" ht="12.75" customHeight="1" x14ac:dyDescent="0.2">
      <c r="A132" s="136"/>
      <c r="B132" s="155"/>
      <c r="C132" s="218" t="s">
        <v>44</v>
      </c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9"/>
      <c r="AY132" s="8">
        <v>400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121"/>
      <c r="BI132" s="121"/>
      <c r="BJ132" s="121"/>
    </row>
    <row r="133" spans="1:63" ht="12.75" customHeight="1" x14ac:dyDescent="0.2">
      <c r="A133" s="136"/>
      <c r="B133" s="155"/>
      <c r="C133" s="218" t="s">
        <v>45</v>
      </c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9"/>
      <c r="AY133" s="8">
        <v>410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0" t="s">
        <v>166</v>
      </c>
      <c r="BI133" s="90" t="s">
        <v>164</v>
      </c>
      <c r="BJ133" s="90" t="s">
        <v>191</v>
      </c>
      <c r="BK133" s="94"/>
    </row>
    <row r="134" spans="1:63" ht="12.75" customHeight="1" x14ac:dyDescent="0.2">
      <c r="A134" s="136"/>
      <c r="B134" s="155"/>
      <c r="C134" s="218" t="s">
        <v>46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9"/>
      <c r="AY134" s="8">
        <v>420</v>
      </c>
      <c r="AZ134" s="72"/>
      <c r="BA134" s="127">
        <f t="shared" si="7"/>
        <v>0</v>
      </c>
      <c r="BB134" s="128"/>
      <c r="BC134" s="128"/>
      <c r="BD134" s="128"/>
      <c r="BE134" s="128"/>
      <c r="BF134" s="128"/>
      <c r="BH134" s="90" t="s">
        <v>160</v>
      </c>
      <c r="BI134" s="95">
        <f>BE105+BE117</f>
        <v>212481.83000000002</v>
      </c>
      <c r="BJ134" s="95">
        <f>BB68+BB83+BC95</f>
        <v>3101437.57</v>
      </c>
      <c r="BK134" s="95"/>
    </row>
    <row r="135" spans="1:63" ht="14.25" customHeight="1" x14ac:dyDescent="0.2">
      <c r="A135" s="136"/>
      <c r="B135" s="220" t="s">
        <v>22</v>
      </c>
      <c r="C135" s="216" t="s">
        <v>11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7"/>
      <c r="AY135" s="12" t="s">
        <v>23</v>
      </c>
      <c r="AZ135" s="72" t="s">
        <v>28</v>
      </c>
      <c r="BA135" s="127">
        <f>BB135+BC135+BD135+BE135</f>
        <v>1208938.56</v>
      </c>
      <c r="BB135" s="131">
        <v>1024282.51</v>
      </c>
      <c r="BC135" s="131">
        <v>0</v>
      </c>
      <c r="BD135" s="131">
        <v>0</v>
      </c>
      <c r="BE135" s="131">
        <v>184656.05</v>
      </c>
      <c r="BF135" s="131">
        <v>0</v>
      </c>
      <c r="BH135" s="90" t="s">
        <v>161</v>
      </c>
      <c r="BI135" s="95">
        <f>BE106+BE118</f>
        <v>202754.34000000005</v>
      </c>
      <c r="BJ135" s="95">
        <f>BB69+BB84</f>
        <v>968753.17</v>
      </c>
      <c r="BK135" s="95"/>
    </row>
    <row r="136" spans="1:63" ht="15" customHeight="1" x14ac:dyDescent="0.2">
      <c r="A136" s="136"/>
      <c r="B136" s="221" t="s">
        <v>24</v>
      </c>
      <c r="C136" s="222" t="s">
        <v>11</v>
      </c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153" t="s">
        <v>25</v>
      </c>
      <c r="AZ136" s="72" t="s">
        <v>28</v>
      </c>
      <c r="BA136" s="127">
        <f>BB136+BC136+BD136+BF136</f>
        <v>0</v>
      </c>
      <c r="BB136" s="128"/>
      <c r="BC136" s="128"/>
      <c r="BD136" s="128"/>
      <c r="BE136" s="128"/>
      <c r="BF136" s="128"/>
      <c r="BH136" s="90" t="s">
        <v>162</v>
      </c>
      <c r="BI136" s="95">
        <f>BE107+BE119</f>
        <v>42069.5</v>
      </c>
      <c r="BJ136" s="95">
        <f>BB70+BB85+BC96</f>
        <v>53884.47</v>
      </c>
      <c r="BK136" s="95"/>
    </row>
    <row r="137" spans="1:63" ht="14.25" customHeight="1" x14ac:dyDescent="0.2">
      <c r="A137" s="108"/>
      <c r="B137" s="115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  <c r="AZ137" s="113"/>
      <c r="BA137" s="114"/>
      <c r="BB137" s="110"/>
      <c r="BC137" s="110"/>
      <c r="BD137" s="110"/>
      <c r="BE137" s="110"/>
      <c r="BF137" s="110"/>
      <c r="BH137" s="90"/>
      <c r="BI137" s="95">
        <f>SUM(BI134:BI136)</f>
        <v>457305.67000000004</v>
      </c>
      <c r="BJ137" s="95">
        <f>SUM(BJ134:BJ136)</f>
        <v>4124075.21</v>
      </c>
      <c r="BK137" s="95"/>
    </row>
    <row r="138" spans="1:63" ht="12.75" x14ac:dyDescent="0.2">
      <c r="A138" s="108"/>
      <c r="B138" s="109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2"/>
      <c r="AZ138" s="113"/>
      <c r="BA138" s="114"/>
      <c r="BB138" s="110"/>
      <c r="BC138" s="110"/>
      <c r="BD138" s="110"/>
      <c r="BE138" s="110"/>
      <c r="BF138" s="110"/>
      <c r="BH138" s="90"/>
      <c r="BI138" s="225">
        <f>BI137+BJ137</f>
        <v>4581380.88</v>
      </c>
      <c r="BJ138" s="226"/>
      <c r="BK138" s="123"/>
    </row>
    <row r="139" spans="1:63" ht="25.5" customHeight="1" x14ac:dyDescent="0.2">
      <c r="A139" s="223" t="s">
        <v>51</v>
      </c>
      <c r="B139" s="223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BA139" s="105">
        <f t="shared" ref="BA139:BF139" si="8">BA24-BA9-BA135</f>
        <v>12799.999999998603</v>
      </c>
      <c r="BB139" s="105">
        <f t="shared" si="8"/>
        <v>1.6298145055770874E-9</v>
      </c>
      <c r="BC139" s="105">
        <f t="shared" si="8"/>
        <v>0</v>
      </c>
      <c r="BD139" s="105">
        <f t="shared" si="8"/>
        <v>0</v>
      </c>
      <c r="BE139" s="105">
        <f t="shared" si="8"/>
        <v>0</v>
      </c>
      <c r="BF139" s="105">
        <f t="shared" si="8"/>
        <v>0</v>
      </c>
      <c r="BG139" s="9"/>
    </row>
    <row r="140" spans="1:63" ht="10.15" customHeight="1" x14ac:dyDescent="0.2">
      <c r="BG140" s="9"/>
    </row>
    <row r="141" spans="1:63" ht="10.15" customHeight="1" x14ac:dyDescent="0.2">
      <c r="BG141" s="9"/>
    </row>
    <row r="142" spans="1:63" ht="10.15" customHeight="1" x14ac:dyDescent="0.2">
      <c r="BB142" s="107"/>
      <c r="BG142" s="9"/>
    </row>
    <row r="143" spans="1:63" ht="10.15" customHeight="1" x14ac:dyDescent="0.2">
      <c r="BG143" s="9"/>
    </row>
    <row r="144" spans="1:63" ht="10.15" customHeight="1" x14ac:dyDescent="0.2">
      <c r="BG144" s="9"/>
    </row>
    <row r="147" spans="59:59" ht="10.15" customHeight="1" x14ac:dyDescent="0.2">
      <c r="BG147" s="9"/>
    </row>
    <row r="148" spans="59:59" ht="10.15" customHeight="1" x14ac:dyDescent="0.2">
      <c r="BG148" s="9"/>
    </row>
    <row r="150" spans="59:59" ht="10.15" customHeight="1" x14ac:dyDescent="0.2">
      <c r="BG150" s="9"/>
    </row>
  </sheetData>
  <mergeCells count="124">
    <mergeCell ref="C55:AX55"/>
    <mergeCell ref="A57:AX57"/>
    <mergeCell ref="A58:AX58"/>
    <mergeCell ref="A95:AX95"/>
    <mergeCell ref="B37:AX37"/>
    <mergeCell ref="A81:AX81"/>
    <mergeCell ref="A75:AX75"/>
    <mergeCell ref="A78:AX78"/>
    <mergeCell ref="A79:AX79"/>
    <mergeCell ref="A80:AX80"/>
    <mergeCell ref="A77:AX77"/>
    <mergeCell ref="B42:AX42"/>
    <mergeCell ref="B41:AX41"/>
    <mergeCell ref="A56:AX56"/>
    <mergeCell ref="A69:AX69"/>
    <mergeCell ref="C59:AX59"/>
    <mergeCell ref="A73:AX73"/>
    <mergeCell ref="A68:AX68"/>
    <mergeCell ref="A94:AX94"/>
    <mergeCell ref="C64:AX64"/>
    <mergeCell ref="C65:AX65"/>
    <mergeCell ref="B66:AX66"/>
    <mergeCell ref="B39:AX39"/>
    <mergeCell ref="A67:AX67"/>
    <mergeCell ref="C29:AX29"/>
    <mergeCell ref="B38:AX38"/>
    <mergeCell ref="A49:AX49"/>
    <mergeCell ref="A51:AX51"/>
    <mergeCell ref="A50:AX50"/>
    <mergeCell ref="B9:AX9"/>
    <mergeCell ref="B10:AX10"/>
    <mergeCell ref="B11:AX11"/>
    <mergeCell ref="B18:AX18"/>
    <mergeCell ref="C28:AX28"/>
    <mergeCell ref="B25:AX25"/>
    <mergeCell ref="B24:AX24"/>
    <mergeCell ref="B16:AX16"/>
    <mergeCell ref="B17:AX17"/>
    <mergeCell ref="A21:AX21"/>
    <mergeCell ref="B23:AX23"/>
    <mergeCell ref="A13:AX13"/>
    <mergeCell ref="A14:AX14"/>
    <mergeCell ref="B19:AX19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2:BG14"/>
    <mergeCell ref="C45:AX45"/>
    <mergeCell ref="A15:AX15"/>
    <mergeCell ref="C27:AX27"/>
    <mergeCell ref="C44:AX44"/>
    <mergeCell ref="C30:AX30"/>
    <mergeCell ref="C36:AX36"/>
    <mergeCell ref="C46:AX46"/>
    <mergeCell ref="A54:AX54"/>
    <mergeCell ref="C31:AX31"/>
    <mergeCell ref="B33:AX33"/>
    <mergeCell ref="C40:AX40"/>
    <mergeCell ref="B43:AX43"/>
    <mergeCell ref="C47:AX47"/>
    <mergeCell ref="A48:AX48"/>
    <mergeCell ref="B52:AX52"/>
    <mergeCell ref="B35:AX35"/>
    <mergeCell ref="A22:AX22"/>
    <mergeCell ref="B26:AX26"/>
    <mergeCell ref="C32:AX32"/>
    <mergeCell ref="B20:AX20"/>
    <mergeCell ref="B34:AX34"/>
    <mergeCell ref="A53:AX53"/>
    <mergeCell ref="A12:AX12"/>
    <mergeCell ref="A70:AX70"/>
    <mergeCell ref="A82:AX82"/>
    <mergeCell ref="AY82:AY91"/>
    <mergeCell ref="A83:AX83"/>
    <mergeCell ref="A84:AX84"/>
    <mergeCell ref="A85:AX85"/>
    <mergeCell ref="C90:AX90"/>
    <mergeCell ref="A97:AX97"/>
    <mergeCell ref="A121:AX121"/>
    <mergeCell ref="A120:AX120"/>
    <mergeCell ref="A96:AX96"/>
    <mergeCell ref="A98:AX98"/>
    <mergeCell ref="A74:AX74"/>
    <mergeCell ref="A92:AX92"/>
    <mergeCell ref="A93:AX93"/>
    <mergeCell ref="AY117:AY119"/>
    <mergeCell ref="AY114:AY116"/>
    <mergeCell ref="AY97:AY111"/>
    <mergeCell ref="A76:AX76"/>
    <mergeCell ref="A72:AX72"/>
    <mergeCell ref="B89:AX89"/>
    <mergeCell ref="A61:AX61"/>
    <mergeCell ref="BG59:BK59"/>
    <mergeCell ref="A60:AX60"/>
    <mergeCell ref="A62:AX62"/>
    <mergeCell ref="C63:AX63"/>
    <mergeCell ref="C134:AX134"/>
    <mergeCell ref="B135:AX135"/>
    <mergeCell ref="B136:AX136"/>
    <mergeCell ref="A139:AX139"/>
    <mergeCell ref="BI138:BJ138"/>
    <mergeCell ref="A123:AX123"/>
    <mergeCell ref="A125:AX125"/>
    <mergeCell ref="BJ125:BJ129"/>
    <mergeCell ref="A126:AX126"/>
    <mergeCell ref="B129:AX129"/>
    <mergeCell ref="C131:AX131"/>
    <mergeCell ref="C132:AX132"/>
    <mergeCell ref="C133:AX133"/>
    <mergeCell ref="C130:AX130"/>
    <mergeCell ref="C127:AX127"/>
    <mergeCell ref="C128:AX128"/>
    <mergeCell ref="AY120:AY126"/>
    <mergeCell ref="AY67:AY81"/>
    <mergeCell ref="BG67:BG126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179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47" t="s">
        <v>9</v>
      </c>
      <c r="BF7" s="140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5" t="s">
        <v>34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6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15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196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57" t="s">
        <v>9</v>
      </c>
      <c r="BF7" s="157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5" t="s">
        <v>34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6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10" zoomScale="60" zoomScaleNormal="55" workbookViewId="0">
      <selection activeCell="D21" sqref="D21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8" t="s">
        <v>94</v>
      </c>
      <c r="B6" s="278" t="s">
        <v>95</v>
      </c>
      <c r="C6" s="278" t="s">
        <v>96</v>
      </c>
      <c r="D6" s="278" t="s">
        <v>97</v>
      </c>
      <c r="E6" s="278"/>
      <c r="F6" s="278"/>
      <c r="G6" s="278"/>
      <c r="H6" s="278"/>
      <c r="I6" s="278"/>
      <c r="J6" s="278"/>
      <c r="K6" s="278"/>
      <c r="L6" s="278"/>
    </row>
    <row r="7" spans="1:13" x14ac:dyDescent="0.25">
      <c r="A7" s="278"/>
      <c r="B7" s="278"/>
      <c r="C7" s="278"/>
      <c r="D7" s="278" t="s">
        <v>98</v>
      </c>
      <c r="E7" s="278"/>
      <c r="F7" s="278"/>
      <c r="G7" s="278"/>
      <c r="H7" s="278"/>
      <c r="I7" s="278"/>
      <c r="J7" s="278"/>
      <c r="K7" s="278"/>
      <c r="L7" s="278"/>
    </row>
    <row r="8" spans="1:13" x14ac:dyDescent="0.25">
      <c r="A8" s="278"/>
      <c r="B8" s="278"/>
      <c r="C8" s="278"/>
      <c r="D8" s="278" t="s">
        <v>99</v>
      </c>
      <c r="E8" s="278"/>
      <c r="F8" s="278"/>
      <c r="G8" s="278" t="s">
        <v>4</v>
      </c>
      <c r="H8" s="278"/>
      <c r="I8" s="278"/>
      <c r="J8" s="278"/>
      <c r="K8" s="278"/>
      <c r="L8" s="278"/>
    </row>
    <row r="9" spans="1:13" ht="102" customHeight="1" x14ac:dyDescent="0.25">
      <c r="A9" s="278"/>
      <c r="B9" s="278"/>
      <c r="C9" s="278"/>
      <c r="D9" s="278"/>
      <c r="E9" s="278"/>
      <c r="F9" s="278"/>
      <c r="G9" s="279" t="s">
        <v>100</v>
      </c>
      <c r="H9" s="279"/>
      <c r="I9" s="279"/>
      <c r="J9" s="279" t="s">
        <v>101</v>
      </c>
      <c r="K9" s="279"/>
      <c r="L9" s="279"/>
    </row>
    <row r="10" spans="1:13" ht="118.5" customHeight="1" x14ac:dyDescent="0.25">
      <c r="A10" s="278"/>
      <c r="B10" s="278"/>
      <c r="C10" s="278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5781684.959999999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5781684.959999999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'3'!BK104</f>
        <v>97390.790000000008</v>
      </c>
      <c r="E14" s="83">
        <f>44400+48000</f>
        <v>92400</v>
      </c>
      <c r="F14" s="83">
        <f>44400+48000</f>
        <v>92400</v>
      </c>
      <c r="G14" s="83">
        <f t="shared" ref="G14:G27" si="1">D14</f>
        <v>97390.790000000008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'3'!BK106</f>
        <v>2636337.09</v>
      </c>
      <c r="E16" s="83">
        <f>230000+2149662</f>
        <v>2379662</v>
      </c>
      <c r="F16" s="83">
        <f>230000+2149662</f>
        <v>2379662</v>
      </c>
      <c r="G16" s="83">
        <f t="shared" si="1"/>
        <v>2636337.09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'3'!BK107</f>
        <v>2242892.21</v>
      </c>
      <c r="E17" s="83">
        <f>457193.28+158000</f>
        <v>615193.28</v>
      </c>
      <c r="F17" s="83">
        <f>457193.28+158000</f>
        <v>615193.28</v>
      </c>
      <c r="G17" s="83">
        <f t="shared" si="1"/>
        <v>2242892.21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'3'!BK108</f>
        <v>338122.26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338122.26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'3'!BK116</f>
        <v>0</v>
      </c>
      <c r="E19" s="83">
        <v>0</v>
      </c>
      <c r="F19" s="83">
        <v>0</v>
      </c>
      <c r="G19" s="83">
        <f t="shared" ref="G19" si="3">D19</f>
        <v>0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'3'!BK109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'3'!BK110</f>
        <v>183004.34000000005</v>
      </c>
      <c r="E21" s="83">
        <v>146000</v>
      </c>
      <c r="F21" s="83">
        <v>146000</v>
      </c>
      <c r="G21" s="83">
        <f t="shared" si="1"/>
        <v>183004.34000000005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'3'!BK111</f>
        <v>110351.45999999999</v>
      </c>
      <c r="E22" s="83">
        <v>0</v>
      </c>
      <c r="F22" s="83">
        <v>0</v>
      </c>
      <c r="G22" s="83">
        <f t="shared" si="1"/>
        <v>110351.45999999999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'3'!BK112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'3'!BK113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'3'!BK114</f>
        <v>144195.81</v>
      </c>
      <c r="E25" s="74">
        <f>143000+127408.7</f>
        <v>270408.7</v>
      </c>
      <c r="F25" s="74">
        <f>143000+127408.7</f>
        <v>270408.7</v>
      </c>
      <c r="G25" s="83">
        <f t="shared" si="1"/>
        <v>144195.81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'3'!BK105</f>
        <v>17944</v>
      </c>
      <c r="E26" s="74">
        <v>0</v>
      </c>
      <c r="F26" s="74">
        <v>0</v>
      </c>
      <c r="G26" s="83">
        <f t="shared" si="1"/>
        <v>17944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'3'!BK115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'3'!BA66-'4'!D12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I25" sqref="I25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8" t="s">
        <v>0</v>
      </c>
      <c r="B6" s="278" t="s">
        <v>1</v>
      </c>
      <c r="C6" s="61" t="s">
        <v>109</v>
      </c>
    </row>
    <row r="7" spans="1:4" ht="50.25" customHeight="1" x14ac:dyDescent="0.2">
      <c r="A7" s="278"/>
      <c r="B7" s="278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8" t="s">
        <v>0</v>
      </c>
      <c r="B20" s="278" t="s">
        <v>1</v>
      </c>
      <c r="C20" s="61" t="s">
        <v>114</v>
      </c>
    </row>
    <row r="21" spans="1:3" ht="15.75" x14ac:dyDescent="0.2">
      <c r="A21" s="278"/>
      <c r="B21" s="278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2019-12-17T11:44:47Z</cp:lastPrinted>
  <dcterms:created xsi:type="dcterms:W3CDTF">2016-04-19T05:14:21Z</dcterms:created>
  <dcterms:modified xsi:type="dcterms:W3CDTF">2019-12-19T11:23:37Z</dcterms:modified>
</cp:coreProperties>
</file>