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'3'!$A$1:$BF$119</definedName>
    <definedName name="_xlnm.Print_Area" localSheetId="3">'3 (2)'!$A$1:$BF$48</definedName>
    <definedName name="_xlnm.Print_Area" localSheetId="4">'3 (3)'!$A$1:$BF$48</definedName>
    <definedName name="_xlnm.Print_Area" localSheetId="7">'3 с разбивкой утв'!$A$1:$BK$119</definedName>
    <definedName name="_xlnm.Print_Area" localSheetId="5">'4'!$A$1:$L$23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A119" i="2" l="1"/>
  <c r="BE118" i="2"/>
  <c r="BB118" i="2"/>
  <c r="BA118" i="2"/>
  <c r="BA117" i="2"/>
  <c r="BA116" i="2"/>
  <c r="BA115" i="2"/>
  <c r="BI114" i="2"/>
  <c r="BJ108" i="2" s="1"/>
  <c r="BA114" i="2"/>
  <c r="BA113" i="2"/>
  <c r="BH112" i="2"/>
  <c r="BA112" i="2"/>
  <c r="AY109" i="2"/>
  <c r="BE108" i="2"/>
  <c r="BE107" i="2"/>
  <c r="AY107" i="2"/>
  <c r="BE106" i="2"/>
  <c r="BE105" i="2"/>
  <c r="BE104" i="2"/>
  <c r="BE103" i="2"/>
  <c r="BE102" i="2"/>
  <c r="BI101" i="2"/>
  <c r="BE101" i="2"/>
  <c r="BJ100" i="2"/>
  <c r="BE100" i="2"/>
  <c r="BE99" i="2"/>
  <c r="BE98" i="2"/>
  <c r="BE58" i="2" s="1"/>
  <c r="BE96" i="2"/>
  <c r="BJ95" i="2"/>
  <c r="BE95" i="2"/>
  <c r="BI95" i="2" s="1"/>
  <c r="BK95" i="2" s="1"/>
  <c r="BJ94" i="2"/>
  <c r="BE94" i="2"/>
  <c r="BI94" i="2" s="1"/>
  <c r="BK94" i="2" s="1"/>
  <c r="BE93" i="2"/>
  <c r="BI92" i="2" s="1"/>
  <c r="BE92" i="2"/>
  <c r="BI91" i="2" s="1"/>
  <c r="BE91" i="2"/>
  <c r="BI102" i="2" s="1"/>
  <c r="BE90" i="2"/>
  <c r="BJ89" i="2"/>
  <c r="BK89" i="2" s="1"/>
  <c r="BI89" i="2"/>
  <c r="BE89" i="2"/>
  <c r="BI100" i="2" s="1"/>
  <c r="BE88" i="2"/>
  <c r="BI88" i="2" s="1"/>
  <c r="BC84" i="2"/>
  <c r="BC81" i="2"/>
  <c r="BC79" i="2"/>
  <c r="BC78" i="2"/>
  <c r="BJ93" i="2" s="1"/>
  <c r="BB73" i="2"/>
  <c r="BB72" i="2"/>
  <c r="BB71" i="2"/>
  <c r="BB70" i="2"/>
  <c r="BJ101" i="2" s="1"/>
  <c r="BK101" i="2" s="1"/>
  <c r="BH69" i="2"/>
  <c r="BB69" i="2"/>
  <c r="BB65" i="2"/>
  <c r="BB64" i="2"/>
  <c r="BJ92" i="2" s="1"/>
  <c r="BB63" i="2"/>
  <c r="BJ91" i="2" s="1"/>
  <c r="BB62" i="2"/>
  <c r="BJ102" i="2" s="1"/>
  <c r="BK102" i="2" s="1"/>
  <c r="BB61" i="2"/>
  <c r="BB60" i="2"/>
  <c r="BJ90" i="2" s="1"/>
  <c r="BB59" i="2"/>
  <c r="BJ88" i="2" s="1"/>
  <c r="BA57" i="2"/>
  <c r="BE54" i="2"/>
  <c r="BA54" i="2"/>
  <c r="BE53" i="2"/>
  <c r="BE50" i="2" s="1"/>
  <c r="BE46" i="2" s="1"/>
  <c r="BB52" i="2"/>
  <c r="BB51" i="2"/>
  <c r="BB50" i="2"/>
  <c r="BB49" i="2"/>
  <c r="BA49" i="2"/>
  <c r="BC48" i="2"/>
  <c r="BA48" i="2" s="1"/>
  <c r="BF46" i="2"/>
  <c r="BD46" i="2"/>
  <c r="BA45" i="2"/>
  <c r="BA43" i="2" s="1"/>
  <c r="BF43" i="2"/>
  <c r="BE43" i="2"/>
  <c r="BD43" i="2"/>
  <c r="BC43" i="2"/>
  <c r="BB43" i="2"/>
  <c r="BB42" i="2"/>
  <c r="BA42" i="2"/>
  <c r="BE40" i="2"/>
  <c r="BE39" i="2" s="1"/>
  <c r="BC39" i="2"/>
  <c r="BB39" i="2"/>
  <c r="BB37" i="2"/>
  <c r="BE36" i="2"/>
  <c r="BB36" i="2"/>
  <c r="BA36" i="2" s="1"/>
  <c r="BB34" i="2"/>
  <c r="BE33" i="2"/>
  <c r="BB33" i="2"/>
  <c r="BA33" i="2" s="1"/>
  <c r="BF32" i="2"/>
  <c r="BE32" i="2"/>
  <c r="BD32" i="2"/>
  <c r="BD31" i="2" s="1"/>
  <c r="BD30" i="2" s="1"/>
  <c r="BC32" i="2"/>
  <c r="BC31" i="2" s="1"/>
  <c r="BF31" i="2"/>
  <c r="BF30" i="2" s="1"/>
  <c r="BA28" i="2"/>
  <c r="BE26" i="2"/>
  <c r="BE25" i="2" s="1"/>
  <c r="BA25" i="2" s="1"/>
  <c r="BC23" i="2"/>
  <c r="BC20" i="2" s="1"/>
  <c r="BC22" i="2"/>
  <c r="BC21" i="2"/>
  <c r="BA19" i="2"/>
  <c r="BE18" i="2"/>
  <c r="BA18" i="2"/>
  <c r="BE17" i="2"/>
  <c r="BA17" i="2" s="1"/>
  <c r="BE16" i="2"/>
  <c r="BB14" i="2"/>
  <c r="BB13" i="2"/>
  <c r="BB12" i="2" s="1"/>
  <c r="BE12" i="2"/>
  <c r="BE10" i="2"/>
  <c r="BA10" i="2" s="1"/>
  <c r="BF9" i="2"/>
  <c r="BD9" i="2"/>
  <c r="BJ103" i="2" l="1"/>
  <c r="BD122" i="2"/>
  <c r="BF122" i="2"/>
  <c r="BE31" i="2"/>
  <c r="BE30" i="2" s="1"/>
  <c r="BA39" i="2"/>
  <c r="BA50" i="2"/>
  <c r="BA46" i="2" s="1"/>
  <c r="BB9" i="2"/>
  <c r="BA12" i="2"/>
  <c r="BA9" i="2" s="1"/>
  <c r="BI103" i="2"/>
  <c r="BL100" i="2"/>
  <c r="BA32" i="2"/>
  <c r="BL102" i="2"/>
  <c r="BC9" i="2"/>
  <c r="BA20" i="2"/>
  <c r="BJ96" i="2"/>
  <c r="BK91" i="2"/>
  <c r="BL101" i="2"/>
  <c r="BK88" i="2"/>
  <c r="BK92" i="2"/>
  <c r="BB58" i="2"/>
  <c r="BK100" i="2"/>
  <c r="BK103" i="2" s="1"/>
  <c r="BB32" i="2"/>
  <c r="BB31" i="2" s="1"/>
  <c r="BB46" i="2"/>
  <c r="BC58" i="2"/>
  <c r="BI90" i="2"/>
  <c r="BK90" i="2" s="1"/>
  <c r="BI93" i="2"/>
  <c r="BK93" i="2" s="1"/>
  <c r="BE9" i="2"/>
  <c r="BC46" i="2"/>
  <c r="BC39" i="12"/>
  <c r="BE108" i="12"/>
  <c r="BE107" i="12"/>
  <c r="BE106" i="12"/>
  <c r="BE105" i="12"/>
  <c r="BE104" i="12"/>
  <c r="BE95" i="12"/>
  <c r="BE94" i="12"/>
  <c r="BE36" i="12"/>
  <c r="BE33" i="12"/>
  <c r="BC21" i="12"/>
  <c r="BE16" i="12"/>
  <c r="BE122" i="2" l="1"/>
  <c r="BC30" i="2"/>
  <c r="BC122" i="2" s="1"/>
  <c r="BA31" i="2"/>
  <c r="BA30" i="2" s="1"/>
  <c r="BJ97" i="2"/>
  <c r="BA58" i="2"/>
  <c r="BI104" i="2"/>
  <c r="BL103" i="2"/>
  <c r="BB30" i="2"/>
  <c r="BB122" i="2" s="1"/>
  <c r="BK96" i="2"/>
  <c r="BK104" i="2"/>
  <c r="BI96" i="2"/>
  <c r="BI97" i="2" s="1"/>
  <c r="BB64" i="12"/>
  <c r="BB63" i="12"/>
  <c r="BE88" i="12"/>
  <c r="BE54" i="12"/>
  <c r="BA122" i="2" l="1"/>
  <c r="BG7" i="2"/>
  <c r="BK97" i="2"/>
  <c r="BE98" i="12"/>
  <c r="BE99" i="12"/>
  <c r="BE26" i="12" l="1"/>
  <c r="BB42" i="12" l="1"/>
  <c r="BB39" i="12"/>
  <c r="BI94" i="12" l="1"/>
  <c r="BI93" i="12"/>
  <c r="BI92" i="12"/>
  <c r="BB62" i="12" l="1"/>
  <c r="BB61" i="12"/>
  <c r="BB60" i="12"/>
  <c r="BE46" i="12" l="1"/>
  <c r="BE90" i="12" l="1"/>
  <c r="BE89" i="12"/>
  <c r="BE93" i="12"/>
  <c r="BE92" i="12"/>
  <c r="BE40" i="12"/>
  <c r="BE103" i="12" l="1"/>
  <c r="BE102" i="12"/>
  <c r="BE101" i="12"/>
  <c r="BE17" i="12"/>
  <c r="BI91" i="12" l="1"/>
  <c r="BB65" i="12" l="1"/>
  <c r="BE10" i="12"/>
  <c r="BC81" i="12" l="1"/>
  <c r="BJ94" i="12"/>
  <c r="BC84" i="12"/>
  <c r="BJ102" i="12" l="1"/>
  <c r="BJ100" i="12"/>
  <c r="BK100" i="12" s="1"/>
  <c r="BC48" i="12"/>
  <c r="BJ92" i="12"/>
  <c r="BJ91" i="12"/>
  <c r="BJ90" i="12"/>
  <c r="BC23" i="12"/>
  <c r="F24" i="5" l="1"/>
  <c r="E24" i="5"/>
  <c r="BA48" i="8" l="1"/>
  <c r="BA47" i="8"/>
  <c r="BA46" i="8"/>
  <c r="BA45" i="8"/>
  <c r="BA44" i="8"/>
  <c r="BA43" i="8"/>
  <c r="BA42" i="8"/>
  <c r="BA41" i="8"/>
  <c r="BE38" i="8"/>
  <c r="BB38" i="8"/>
  <c r="BA38" i="8" s="1"/>
  <c r="BA37" i="8"/>
  <c r="BE34" i="8"/>
  <c r="BE30" i="8" s="1"/>
  <c r="BB33" i="8"/>
  <c r="BA33" i="8"/>
  <c r="BB32" i="8"/>
  <c r="BB30" i="8" s="1"/>
  <c r="BF30" i="8"/>
  <c r="BD30" i="8"/>
  <c r="BC30" i="8"/>
  <c r="BA29" i="8"/>
  <c r="BA27" i="8" s="1"/>
  <c r="BF27" i="8"/>
  <c r="BE27" i="8"/>
  <c r="BD27" i="8"/>
  <c r="BC27" i="8"/>
  <c r="BB27" i="8"/>
  <c r="BB26" i="8"/>
  <c r="BA26" i="8"/>
  <c r="BE25" i="8"/>
  <c r="BC25" i="8"/>
  <c r="BB25" i="8"/>
  <c r="BA25" i="8"/>
  <c r="BE24" i="8"/>
  <c r="BB24" i="8"/>
  <c r="BA24" i="8"/>
  <c r="BE23" i="8"/>
  <c r="BE22" i="8" s="1"/>
  <c r="BE21" i="8" s="1"/>
  <c r="BB23" i="8"/>
  <c r="BA23" i="8" s="1"/>
  <c r="BA22" i="8" s="1"/>
  <c r="BA21" i="8" s="1"/>
  <c r="BF22" i="8"/>
  <c r="BF21" i="8" s="1"/>
  <c r="BF20" i="8" s="1"/>
  <c r="BF49" i="8" s="1"/>
  <c r="BD22" i="8"/>
  <c r="BC22" i="8"/>
  <c r="BB22" i="8"/>
  <c r="BB21" i="8" s="1"/>
  <c r="BB20" i="8" s="1"/>
  <c r="BB49" i="8" s="1"/>
  <c r="BD21" i="8"/>
  <c r="BD20" i="8" s="1"/>
  <c r="BD49" i="8" s="1"/>
  <c r="BC21" i="8"/>
  <c r="BC20" i="8" s="1"/>
  <c r="BC49" i="8" s="1"/>
  <c r="BA18" i="8"/>
  <c r="BA17" i="8"/>
  <c r="BC16" i="8"/>
  <c r="BA16" i="8"/>
  <c r="BA15" i="8"/>
  <c r="BE14" i="8"/>
  <c r="BA14" i="8"/>
  <c r="BE13" i="8"/>
  <c r="BA13" i="8" s="1"/>
  <c r="BE12" i="8"/>
  <c r="BB12" i="8"/>
  <c r="BA12" i="8"/>
  <c r="BE10" i="8"/>
  <c r="BA10" i="8" s="1"/>
  <c r="BA9" i="8" s="1"/>
  <c r="BF9" i="8"/>
  <c r="BD9" i="8"/>
  <c r="BC9" i="8"/>
  <c r="BB9" i="8"/>
  <c r="BA48" i="7"/>
  <c r="BA47" i="7"/>
  <c r="BA46" i="7"/>
  <c r="BA45" i="7"/>
  <c r="BA44" i="7"/>
  <c r="BA43" i="7"/>
  <c r="BA42" i="7"/>
  <c r="BA41" i="7"/>
  <c r="BE38" i="7"/>
  <c r="BC38" i="7"/>
  <c r="BB38" i="7"/>
  <c r="BA38" i="7" s="1"/>
  <c r="BA37" i="7"/>
  <c r="BE34" i="7"/>
  <c r="BA34" i="7"/>
  <c r="BB33" i="7"/>
  <c r="BA33" i="7"/>
  <c r="BB32" i="7"/>
  <c r="BA32" i="7"/>
  <c r="BF30" i="7"/>
  <c r="BE30" i="7"/>
  <c r="BD30" i="7"/>
  <c r="BC30" i="7"/>
  <c r="BB30" i="7"/>
  <c r="BA30" i="7"/>
  <c r="BA29" i="7"/>
  <c r="BA27" i="7" s="1"/>
  <c r="BF27" i="7"/>
  <c r="BE27" i="7"/>
  <c r="BD27" i="7"/>
  <c r="BC27" i="7"/>
  <c r="BB27" i="7"/>
  <c r="BB26" i="7"/>
  <c r="BA26" i="7" s="1"/>
  <c r="BE25" i="7"/>
  <c r="BC25" i="7"/>
  <c r="BB25" i="7"/>
  <c r="BA25" i="7" s="1"/>
  <c r="BE24" i="7"/>
  <c r="BE22" i="7" s="1"/>
  <c r="BE21" i="7" s="1"/>
  <c r="BE20" i="7" s="1"/>
  <c r="BE49" i="7" s="1"/>
  <c r="BB24" i="7"/>
  <c r="BA24" i="7"/>
  <c r="BE23" i="7"/>
  <c r="BB23" i="7"/>
  <c r="BA23" i="7" s="1"/>
  <c r="BA22" i="7" s="1"/>
  <c r="BA21" i="7" s="1"/>
  <c r="BA20" i="7" s="1"/>
  <c r="BF22" i="7"/>
  <c r="BF21" i="7" s="1"/>
  <c r="BF20" i="7" s="1"/>
  <c r="BF49" i="7" s="1"/>
  <c r="BD22" i="7"/>
  <c r="BD21" i="7" s="1"/>
  <c r="BD20" i="7" s="1"/>
  <c r="BD49" i="7" s="1"/>
  <c r="BC22" i="7"/>
  <c r="BB22" i="7"/>
  <c r="BC21" i="7"/>
  <c r="BC20" i="7" s="1"/>
  <c r="BC49" i="7" s="1"/>
  <c r="BB21" i="7"/>
  <c r="BB20" i="7" s="1"/>
  <c r="BA18" i="7"/>
  <c r="BA17" i="7"/>
  <c r="BC16" i="7"/>
  <c r="BA16" i="7" s="1"/>
  <c r="BA15" i="7"/>
  <c r="BE14" i="7"/>
  <c r="BA14" i="7"/>
  <c r="BE13" i="7"/>
  <c r="BA13" i="7"/>
  <c r="BE12" i="7"/>
  <c r="BB12" i="7"/>
  <c r="BA12" i="7" s="1"/>
  <c r="BE10" i="7"/>
  <c r="BA10" i="7" s="1"/>
  <c r="BA9" i="7" s="1"/>
  <c r="BG9" i="7" s="1"/>
  <c r="BF9" i="7"/>
  <c r="BE9" i="7"/>
  <c r="BD9" i="7"/>
  <c r="BC9" i="7"/>
  <c r="BE20" i="8" l="1"/>
  <c r="BE9" i="8"/>
  <c r="BA32" i="8"/>
  <c r="BA34" i="8"/>
  <c r="BA49" i="7"/>
  <c r="BB9" i="7"/>
  <c r="BB49" i="7" s="1"/>
  <c r="BE49" i="8" l="1"/>
  <c r="BA30" i="8"/>
  <c r="BA20" i="8" s="1"/>
  <c r="BA49" i="8" l="1"/>
  <c r="BG9" i="8"/>
  <c r="BE12" i="12" l="1"/>
  <c r="BA17" i="12"/>
  <c r="BB12" i="12"/>
  <c r="BB71" i="12" l="1"/>
  <c r="BB70" i="12"/>
  <c r="BB69" i="12"/>
  <c r="BB73" i="12"/>
  <c r="BB72" i="12"/>
  <c r="BB13" i="12" l="1"/>
  <c r="BB37" i="12"/>
  <c r="BB34" i="12"/>
  <c r="C9" i="4" l="1"/>
  <c r="C12" i="4" l="1"/>
  <c r="AY109" i="12" l="1"/>
  <c r="C24" i="4" l="1"/>
  <c r="C21" i="4"/>
  <c r="C20" i="4"/>
  <c r="C19" i="4"/>
  <c r="C16" i="4"/>
  <c r="C6" i="4" l="1"/>
  <c r="C10" i="4" l="1"/>
  <c r="C7" i="4"/>
  <c r="BB52" i="12" l="1"/>
  <c r="BI114" i="12" l="1"/>
  <c r="BH112" i="12"/>
  <c r="BE118" i="12" l="1"/>
  <c r="BE91" i="12" l="1"/>
  <c r="BB118" i="12"/>
  <c r="F18" i="5" l="1"/>
  <c r="E18" i="5"/>
  <c r="F21" i="5"/>
  <c r="E21" i="5"/>
  <c r="F17" i="5"/>
  <c r="E17" i="5"/>
  <c r="F16" i="5"/>
  <c r="E16" i="5"/>
  <c r="F14" i="5"/>
  <c r="E14" i="5"/>
  <c r="BH69" i="12"/>
  <c r="BB50" i="12"/>
  <c r="BB51" i="12"/>
  <c r="BB49" i="12"/>
  <c r="BB59" i="12"/>
  <c r="BB14" i="12"/>
  <c r="BC78" i="12"/>
  <c r="BC79" i="12"/>
  <c r="BC22" i="12"/>
  <c r="BE18" i="12"/>
  <c r="BE39" i="12"/>
  <c r="BJ93" i="12"/>
  <c r="AY107" i="12"/>
  <c r="BE96" i="12"/>
  <c r="F20" i="5"/>
  <c r="E20" i="5"/>
  <c r="BE53" i="12" l="1"/>
  <c r="BJ95" i="12" l="1"/>
  <c r="BB36" i="12" l="1"/>
  <c r="BE50" i="12" l="1"/>
  <c r="BJ89" i="12"/>
  <c r="BC58" i="12"/>
  <c r="BB33" i="12"/>
  <c r="BB32" i="12" s="1"/>
  <c r="BB31" i="12" s="1"/>
  <c r="BE100" i="12"/>
  <c r="BI95" i="12" s="1"/>
  <c r="BE32" i="12"/>
  <c r="BJ88" i="12"/>
  <c r="BI101" i="12"/>
  <c r="BI102" i="12"/>
  <c r="BA119" i="12"/>
  <c r="BA118" i="12"/>
  <c r="BA117" i="12"/>
  <c r="BA116" i="12"/>
  <c r="BA115" i="12"/>
  <c r="BA114" i="12"/>
  <c r="BA113" i="12"/>
  <c r="BA112" i="12"/>
  <c r="BJ108" i="12"/>
  <c r="BI89" i="12"/>
  <c r="BI88" i="12"/>
  <c r="BA57" i="12"/>
  <c r="BA54" i="12"/>
  <c r="BB46" i="12"/>
  <c r="BA49" i="12"/>
  <c r="BA48" i="12"/>
  <c r="BF46" i="12"/>
  <c r="BD46" i="12"/>
  <c r="BC46" i="12"/>
  <c r="BA45" i="12"/>
  <c r="BF43" i="12"/>
  <c r="BE43" i="12"/>
  <c r="BD43" i="12"/>
  <c r="BC43" i="12"/>
  <c r="BB43" i="12"/>
  <c r="BA43" i="12"/>
  <c r="BA42" i="12"/>
  <c r="BA36" i="12"/>
  <c r="BF32" i="12"/>
  <c r="BF31" i="12" s="1"/>
  <c r="BD32" i="12"/>
  <c r="BD31" i="12" s="1"/>
  <c r="BC32" i="12"/>
  <c r="BA28" i="12"/>
  <c r="BE25" i="12"/>
  <c r="BC20" i="12"/>
  <c r="BA19" i="12"/>
  <c r="BA18" i="12"/>
  <c r="BA10" i="12"/>
  <c r="BF9" i="12"/>
  <c r="BD9" i="12"/>
  <c r="BA25" i="12" l="1"/>
  <c r="BE9" i="12"/>
  <c r="BE58" i="12"/>
  <c r="BK93" i="12"/>
  <c r="D19" i="5" s="1"/>
  <c r="BK92" i="12"/>
  <c r="D18" i="5" s="1"/>
  <c r="BJ96" i="12"/>
  <c r="BA33" i="12"/>
  <c r="BA32" i="12" s="1"/>
  <c r="BE31" i="12"/>
  <c r="BJ101" i="12"/>
  <c r="BA39" i="12"/>
  <c r="BI90" i="12"/>
  <c r="BK89" i="12"/>
  <c r="D15" i="5" s="1"/>
  <c r="BB58" i="12"/>
  <c r="BB30" i="12" s="1"/>
  <c r="BC31" i="12"/>
  <c r="BC30" i="12" s="1"/>
  <c r="BA50" i="12"/>
  <c r="BA46" i="12" s="1"/>
  <c r="BK94" i="12"/>
  <c r="D20" i="5" s="1"/>
  <c r="BK95" i="12"/>
  <c r="D21" i="5" s="1"/>
  <c r="BD30" i="12"/>
  <c r="BD122" i="12" s="1"/>
  <c r="BF30" i="12"/>
  <c r="BF122" i="12" s="1"/>
  <c r="BK91" i="12"/>
  <c r="D17" i="5" s="1"/>
  <c r="BA12" i="12"/>
  <c r="BA20" i="12"/>
  <c r="BC9" i="12"/>
  <c r="BK88" i="12"/>
  <c r="D14" i="5" s="1"/>
  <c r="BI100" i="12"/>
  <c r="BI103" i="12" s="1"/>
  <c r="BB9" i="12"/>
  <c r="BA9" i="12" l="1"/>
  <c r="BI96" i="12"/>
  <c r="BI97" i="12" s="1"/>
  <c r="BL100" i="12"/>
  <c r="BE30" i="12"/>
  <c r="BE122" i="12" s="1"/>
  <c r="BK90" i="12"/>
  <c r="BL102" i="12"/>
  <c r="BK102" i="12"/>
  <c r="BK101" i="12"/>
  <c r="BL101" i="12"/>
  <c r="BJ103" i="12"/>
  <c r="BJ97" i="12"/>
  <c r="BA31" i="12"/>
  <c r="BC122" i="12"/>
  <c r="BB122" i="12"/>
  <c r="BA58" i="12"/>
  <c r="I21" i="5"/>
  <c r="I18" i="5"/>
  <c r="I16" i="5"/>
  <c r="H17" i="5"/>
  <c r="H16" i="5"/>
  <c r="E12" i="5"/>
  <c r="H12" i="5" s="1"/>
  <c r="I20" i="5"/>
  <c r="I19" i="5"/>
  <c r="I17" i="5"/>
  <c r="I15" i="5"/>
  <c r="I14" i="5"/>
  <c r="H21" i="5"/>
  <c r="H20" i="5"/>
  <c r="H19" i="5"/>
  <c r="H18" i="5"/>
  <c r="H15" i="5"/>
  <c r="BK96" i="12" l="1"/>
  <c r="BK97" i="12" s="1"/>
  <c r="D16" i="5"/>
  <c r="D12" i="5" s="1"/>
  <c r="D24" i="5" s="1"/>
  <c r="BA30" i="12"/>
  <c r="BA122" i="12" s="1"/>
  <c r="BK103" i="12"/>
  <c r="BI104" i="12"/>
  <c r="BK104" i="12" s="1"/>
  <c r="BL103" i="12"/>
  <c r="H14" i="5"/>
  <c r="F12" i="5"/>
  <c r="BG7" i="12" l="1"/>
  <c r="G19" i="5"/>
  <c r="G17" i="5"/>
  <c r="G15" i="5"/>
  <c r="G14" i="5" l="1"/>
  <c r="G18" i="5"/>
  <c r="G21" i="5"/>
  <c r="G20" i="5"/>
  <c r="G16" i="5" l="1"/>
  <c r="G12" i="5" s="1"/>
  <c r="I12" i="5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<sst xmlns="http://schemas.openxmlformats.org/spreadsheetml/2006/main" count="787" uniqueCount="253">
  <si>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</si>
  <si>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</si>
  <si>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</si>
  <si>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</si>
  <si>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</si>
  <si>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</si>
  <si>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</si>
  <si>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</si>
  <si>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</si>
  <si>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</si>
  <si>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</si>
  <si>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</si>
  <si>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</si>
  <si>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</si>
  <si>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</si>
  <si>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</si>
  <si>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</si>
  <si>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</si>
  <si>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</si>
  <si>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</si>
  <si>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</si>
  <si>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</si>
  <si>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</si>
  <si>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</si>
  <si>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</si>
  <si>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</si>
  <si>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</si>
  <si>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</si>
  <si>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</si>
  <si>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</si>
  <si>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</si>
  <si>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</si>
  <si>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</si>
  <si>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</si>
  <si>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</si>
  <si>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</si>
  <si>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</si>
  <si>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</si>
  <si>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</si>
  <si>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</si>
  <si>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</si>
  <si>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</si>
  <si>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</si>
  <si>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</si>
  <si>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</si>
  <si>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</si>
  <si>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</si>
  <si>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</si>
  <si>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</si>
  <si>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</si>
  <si>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</si>
  <si>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</si>
  <si>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</si>
  <si>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</si>
  <si>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</si>
  <si>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</si>
  <si>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</si>
  <si>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</si>
  <si>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</si>
  <si>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</si>
  <si>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</si>
  <si>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</si>
  <si>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</si>
  <si>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</si>
  <si>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</si>
  <si>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</si>
  <si>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</si>
  <si>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</si>
  <si>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</si>
  <si>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</si>
  <si>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</si>
  <si>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</si>
  <si>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</si>
  <si>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</si>
  <si>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</si>
  <si>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</si>
  <si>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</si>
  <si>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</si>
  <si>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</si>
  <si>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</si>
  <si>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</si>
  <si>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</si>
  <si>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</si>
  <si>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</si>
  <si>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</si>
  <si>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</si>
  <si>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</si>
  <si>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</si>
  <si>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</si>
  <si>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</si>
  <si>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</si>
  <si>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</si>
  <si>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</si>
  <si>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</si>
  <si>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</si>
  <si>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</si>
  <si>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</si>
  <si>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</si>
  <si>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</si>
  <si>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</si>
  <si>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</si>
  <si>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</si>
  <si>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</si>
  <si>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</si>
  <si>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</si>
  <si>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</si>
  <si>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</si>
  <si>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</si>
  <si>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</si>
  <si>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</si>
  <si>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</si>
  <si>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</si>
  <si>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</si>
  <si>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</si>
  <si>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</si>
  <si>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</si>
  <si>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</si>
  <si>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</si>
  <si>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</si>
  <si>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</si>
  <si>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</si>
  <si>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</si>
  <si>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</si>
  <si>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</si>
  <si>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</si>
  <si>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</si>
  <si>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</si>
  <si>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</si>
  <si>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</si>
  <si>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</si>
  <si>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</si>
  <si>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</si>
  <si>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</si>
  <si>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</si>
  <si>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</si>
  <si>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</si>
  <si>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</si>
  <si>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</si>
  <si>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</si>
  <si>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</si>
  <si>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</si>
  <si>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</si>
  <si>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</si>
  <si>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</si>
  <si>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</si>
  <si>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</si>
  <si>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</si>
  <si>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</si>
  <si>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</si>
  <si>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</si>
  <si>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</si>
  <si>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</si>
  <si>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</si>
  <si>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</si>
  <si>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</si>
  <si>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</si>
  <si>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</si>
  <si>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</si>
  <si>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</si>
  <si>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</si>
  <si>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косгу 212 пособия мамам, возм.медосмотра, ком.расходы тренера</t>
  </si>
  <si>
    <t>косгу 213 налоги с ЗП</t>
  </si>
  <si>
    <t>косгу 211  зп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</si>
  <si>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</si>
  <si>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</si>
  <si>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</si>
  <si>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</si>
  <si>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</si>
  <si>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</si>
  <si>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</si>
  <si>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</si>
  <si>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</si>
  <si>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</si>
  <si>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</si>
  <si>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</si>
  <si>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</si>
  <si>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</si>
  <si>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</si>
  <si>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</si>
  <si>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</si>
  <si>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</si>
  <si>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косгу</t>
  </si>
  <si>
    <t>внебюджет</t>
  </si>
  <si>
    <t>4+5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</si>
  <si>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</si>
  <si>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</si>
  <si>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t>экология</t>
  </si>
  <si>
    <t>"_____" ________________ 20___ г.</t>
  </si>
  <si>
    <t>к2001, госпошлины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</si>
  <si>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</si>
  <si>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</si>
  <si>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</si>
  <si>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</si>
  <si>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</si>
  <si>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</si>
  <si>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</si>
  <si>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</si>
  <si>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</si>
  <si>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</si>
  <si>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</si>
  <si>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к.4000</t>
  </si>
  <si>
    <t>транспортный налог к.4000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</si>
  <si>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</si>
  <si>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</si>
  <si>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</si>
  <si>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</si>
  <si>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</si>
  <si>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</si>
  <si>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</si>
  <si>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t>План финансово-хозяйственной деятельности на 2018 год 
и плановый период 2019-2020 г.г</t>
  </si>
  <si>
    <t>на 01.01.2018г.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</si>
  <si>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2018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</si>
  <si>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</si>
  <si>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на   ____.______.2018г.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</si>
  <si>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</si>
  <si>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</si>
  <si>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</si>
  <si>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 _____.____.2018 г.</t>
  </si>
  <si>
    <t>ОСТАТКИ НА 01.01.18</t>
  </si>
  <si>
    <t>косгу 211</t>
  </si>
  <si>
    <t>косгу 213</t>
  </si>
  <si>
    <t>косгу 212</t>
  </si>
  <si>
    <t>косгу 212 мед.осмотр к2001</t>
  </si>
  <si>
    <t>пож.риски</t>
  </si>
  <si>
    <t>МЗ  (ост-ки на 01.01.)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</si>
  <si>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</si>
  <si>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</si>
  <si>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296 по внебюджету- учащиеся выездные меропр.</t>
  </si>
  <si>
    <t>косгу 291 - налог на имущество</t>
  </si>
  <si>
    <t>121</t>
  </si>
  <si>
    <t>131</t>
  </si>
  <si>
    <t>143</t>
  </si>
  <si>
    <t>183</t>
  </si>
  <si>
    <t>189</t>
  </si>
  <si>
    <t>доходы по условным арендным платежам</t>
  </si>
  <si>
    <t>МЗ 4000, 4291, код субсидии 2001</t>
  </si>
  <si>
    <t>135</t>
  </si>
  <si>
    <t>косгу 212, ком.расх.тренера, к2032</t>
  </si>
  <si>
    <t>5101</t>
  </si>
  <si>
    <t>5128</t>
  </si>
  <si>
    <t>исп.листы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</si>
  <si>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</si>
  <si>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без Кт</t>
  </si>
  <si>
    <t>МЗ + иные</t>
  </si>
  <si>
    <r>
      <t xml:space="preserve">косгу 291 (4537,78р) </t>
    </r>
    <r>
      <rPr>
        <u/>
        <sz val="10"/>
        <rFont val="Arial"/>
        <family val="2"/>
        <charset val="204"/>
      </rPr>
      <t>по требованию</t>
    </r>
    <r>
      <rPr>
        <sz val="10"/>
        <rFont val="Arial"/>
        <family val="2"/>
        <charset val="204"/>
      </rPr>
      <t xml:space="preserve"> - % тэку, самараэнерго ИФО 2001
косгу 293 (5973,25р) пени по досуд.претензии кап.ремонт ИФО 2001</t>
    </r>
  </si>
  <si>
    <t>296</t>
  </si>
  <si>
    <t>косгу 291 - транспортный налог, госпошлины, экология</t>
  </si>
  <si>
    <t>Директор
МБУДО СДЮСШОР № 4 "Шахматы"</t>
  </si>
  <si>
    <t>Г.Р. Салахова</t>
  </si>
  <si>
    <t>ЦЕЛЕВЫЕ</t>
  </si>
  <si>
    <t>2010</t>
  </si>
  <si>
    <t>Руководитель управления физической культуры и спорта администрации городского округа Тольятти</t>
  </si>
  <si>
    <t>А.Е. Герунов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</si>
</sst>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 applyAlignment="1">
      <alignment horizontal="right"/>
    </xf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0" fontId="4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6" fillId="2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Border="1" applyAlignment="1" applyProtection="1">
      <alignment horizontal="center" vertical="center"/>
    </xf>
    <xf numFmtId="164" fontId="26" fillId="4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</xf>
    <xf numFmtId="164" fontId="26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textRotation="90"/>
    </xf>
    <xf numFmtId="0" fontId="21" fillId="5" borderId="13" xfId="0" applyFont="1" applyFill="1" applyBorder="1" applyAlignment="1">
      <alignment horizontal="center" textRotation="90"/>
    </xf>
    <xf numFmtId="0" fontId="21" fillId="5" borderId="14" xfId="0" applyFont="1" applyFill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right" wrapText="1"/>
    </xf>
    <xf numFmtId="0" fontId="28" fillId="0" borderId="5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3" fillId="4" borderId="5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87" zoomScaleNormal="100" zoomScaleSheetLayoutView="87" workbookViewId="0">
      <selection activeCell="DZ15" sqref="DZ15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95" t="s">
        <v>73</v>
      </c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95" t="s">
        <v>58</v>
      </c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21"/>
      <c r="DU1" s="121"/>
      <c r="DV1" s="121"/>
    </row>
    <row r="2" spans="1:155" ht="50.25" customHeight="1" x14ac:dyDescent="0.25">
      <c r="A2" s="29"/>
      <c r="B2" s="29"/>
      <c r="C2" s="29"/>
      <c r="D2" s="29"/>
      <c r="E2" s="29"/>
      <c r="F2" s="29"/>
      <c r="G2" s="200" t="s">
        <v>251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3" t="s">
        <v>247</v>
      </c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21"/>
      <c r="DU2" s="121"/>
      <c r="DV2" s="121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1" t="s">
        <v>74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1" t="s">
        <v>59</v>
      </c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0" t="s">
        <v>252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0" t="s">
        <v>248</v>
      </c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21"/>
      <c r="DU4" s="121"/>
      <c r="DV4" s="121"/>
      <c r="DW4" s="34"/>
    </row>
    <row r="5" spans="1:155" x14ac:dyDescent="0.2">
      <c r="A5" s="16"/>
      <c r="B5" s="16"/>
      <c r="C5" s="16"/>
      <c r="D5" s="16"/>
      <c r="E5" s="16"/>
      <c r="F5" s="16"/>
      <c r="G5" s="191" t="s">
        <v>60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6"/>
      <c r="W5" s="16"/>
      <c r="X5" s="191" t="s">
        <v>61</v>
      </c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1" t="s">
        <v>60</v>
      </c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6"/>
      <c r="CW5" s="16"/>
      <c r="CX5" s="16"/>
      <c r="CY5" s="16"/>
      <c r="CZ5" s="31" t="s">
        <v>61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22"/>
      <c r="F6" s="18"/>
      <c r="I6" s="122" t="s">
        <v>62</v>
      </c>
      <c r="J6" s="32"/>
      <c r="K6" s="32"/>
      <c r="L6" s="29" t="s">
        <v>62</v>
      </c>
      <c r="M6" s="18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3" t="s">
        <v>71</v>
      </c>
      <c r="AE6" s="193"/>
      <c r="AF6" s="193"/>
      <c r="AG6" s="194"/>
      <c r="AH6" s="194"/>
      <c r="AI6" s="194"/>
      <c r="AJ6" s="195" t="s">
        <v>72</v>
      </c>
      <c r="AK6" s="195"/>
      <c r="AL6" s="29"/>
      <c r="AM6" s="18"/>
      <c r="AN6" s="18"/>
      <c r="AO6" s="18"/>
      <c r="AP6" s="18"/>
      <c r="AQ6" s="29"/>
      <c r="CH6" s="122" t="s">
        <v>62</v>
      </c>
      <c r="CI6" s="196"/>
      <c r="CJ6" s="196"/>
      <c r="CK6" s="196"/>
      <c r="CL6" s="196"/>
      <c r="CM6" s="29" t="s">
        <v>62</v>
      </c>
      <c r="CP6" s="195" t="s">
        <v>130</v>
      </c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7">
        <v>20</v>
      </c>
      <c r="DJ6" s="197"/>
      <c r="DK6" s="197"/>
      <c r="DL6" s="196"/>
      <c r="DM6" s="196"/>
      <c r="DN6" s="196"/>
      <c r="DO6" s="196"/>
      <c r="DP6" s="29" t="s">
        <v>63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8" t="s">
        <v>209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9" t="s">
        <v>64</v>
      </c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22" t="s">
        <v>65</v>
      </c>
      <c r="DJ11" s="187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9"/>
    </row>
    <row r="12" spans="1:155" ht="15.2" customHeight="1" x14ac:dyDescent="0.25">
      <c r="X12" s="34"/>
      <c r="Y12" s="34"/>
      <c r="Z12" s="34"/>
      <c r="AA12" s="34"/>
      <c r="AB12" s="34"/>
      <c r="AC12" s="20"/>
      <c r="AD12" s="184"/>
      <c r="AE12" s="184"/>
      <c r="AF12" s="184"/>
      <c r="AG12" s="184"/>
      <c r="AH12" s="21"/>
      <c r="AI12" s="21"/>
      <c r="AJ12" s="21" t="s">
        <v>62</v>
      </c>
      <c r="AK12" s="21"/>
      <c r="AL12" s="120"/>
      <c r="AM12" s="120"/>
      <c r="AN12" s="120"/>
      <c r="AO12" s="120"/>
      <c r="AP12" s="35" t="s">
        <v>62</v>
      </c>
      <c r="AQ12" s="35"/>
      <c r="AR12" s="3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35">
        <v>20</v>
      </c>
      <c r="BL12" s="186"/>
      <c r="BM12" s="186"/>
      <c r="BN12" s="186"/>
      <c r="BO12" s="186"/>
      <c r="BP12" s="186"/>
      <c r="BQ12" s="186"/>
      <c r="BR12" s="186"/>
      <c r="BS12" s="21" t="s">
        <v>63</v>
      </c>
      <c r="BT12" s="21"/>
      <c r="CT12" s="22"/>
      <c r="DH12" s="122" t="s">
        <v>66</v>
      </c>
      <c r="DJ12" s="187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9"/>
    </row>
    <row r="13" spans="1:155" ht="24" customHeight="1" x14ac:dyDescent="0.25">
      <c r="BH13" s="29"/>
      <c r="CT13" s="22"/>
      <c r="CU13" s="22"/>
      <c r="DH13" s="122"/>
      <c r="DJ13" s="187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9"/>
    </row>
    <row r="14" spans="1:155" ht="15" x14ac:dyDescent="0.25">
      <c r="CT14" s="22"/>
      <c r="CU14" s="22"/>
      <c r="DH14" s="122"/>
      <c r="DJ14" s="187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9"/>
    </row>
    <row r="15" spans="1:155" ht="15.2" customHeight="1" x14ac:dyDescent="0.25">
      <c r="A15" s="172" t="s">
        <v>75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47"/>
      <c r="AM15" s="47"/>
      <c r="AN15" s="47"/>
      <c r="AO15" s="172" t="s">
        <v>132</v>
      </c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23"/>
      <c r="CT15" s="23"/>
      <c r="DH15" s="122" t="s">
        <v>67</v>
      </c>
      <c r="DJ15" s="187" t="s">
        <v>131</v>
      </c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9"/>
    </row>
    <row r="16" spans="1:155" ht="15.2" customHeight="1" x14ac:dyDescent="0.2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47"/>
      <c r="AM16" s="47"/>
      <c r="AN16" s="47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23"/>
      <c r="CT16" s="23"/>
      <c r="CU16" s="22"/>
      <c r="DH16" s="122"/>
      <c r="DJ16" s="187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9"/>
    </row>
    <row r="17" spans="1:165" ht="66" customHeight="1" x14ac:dyDescent="0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47"/>
      <c r="AM17" s="47"/>
      <c r="AN17" s="47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23"/>
      <c r="CT17" s="23"/>
      <c r="CU17" s="22"/>
      <c r="DH17" s="24"/>
      <c r="DJ17" s="187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9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22"/>
      <c r="DJ18" s="181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3"/>
    </row>
    <row r="19" spans="1:165" ht="15.2" customHeight="1" x14ac:dyDescent="0.2">
      <c r="A19" s="175" t="s">
        <v>68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48"/>
      <c r="AM19" s="48"/>
      <c r="AN19" s="48"/>
      <c r="AO19" s="176" t="s">
        <v>133</v>
      </c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25"/>
      <c r="CT19" s="25"/>
      <c r="DH19" s="26"/>
      <c r="DJ19" s="177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9"/>
    </row>
    <row r="20" spans="1:165" ht="19.5" customHeight="1" x14ac:dyDescent="0.2">
      <c r="A20" s="175" t="s">
        <v>78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48"/>
      <c r="AM20" s="48"/>
      <c r="AN20" s="48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DH20" s="27" t="s">
        <v>69</v>
      </c>
      <c r="DJ20" s="177" t="s">
        <v>70</v>
      </c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9"/>
    </row>
    <row r="21" spans="1:165" ht="15.2" customHeight="1" x14ac:dyDescent="0.2">
      <c r="A21" s="175" t="s">
        <v>79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48"/>
      <c r="AM21" s="48"/>
      <c r="AN21" s="48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</row>
    <row r="23" spans="1:165" ht="21" customHeight="1" x14ac:dyDescent="0.2">
      <c r="A23" s="172" t="s">
        <v>76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47"/>
      <c r="AM23" s="47"/>
      <c r="AN23" s="47"/>
      <c r="AO23" s="172" t="s">
        <v>199</v>
      </c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47"/>
      <c r="AM24" s="47"/>
      <c r="AN24" s="47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47"/>
      <c r="AM25" s="47"/>
      <c r="AN25" s="47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36"/>
      <c r="AP27" s="36"/>
      <c r="AQ27" s="36"/>
      <c r="AR27" s="36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23"/>
      <c r="DR27" s="23"/>
      <c r="DS27" s="23"/>
      <c r="DT27" s="23"/>
    </row>
    <row r="28" spans="1:165" ht="15.2" hidden="1" customHeight="1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36"/>
      <c r="AP28" s="36"/>
      <c r="AQ28" s="36"/>
      <c r="AR28" s="36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23"/>
      <c r="DR28" s="23"/>
      <c r="DS28" s="23"/>
      <c r="DT28" s="23"/>
    </row>
    <row r="29" spans="1:165" ht="15.2" hidden="1" customHeight="1" x14ac:dyDescent="0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36"/>
      <c r="AP29" s="36"/>
      <c r="AQ29" s="36"/>
      <c r="AR29" s="36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74" t="s">
        <v>77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2" t="s">
        <v>134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2" t="s">
        <v>137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3" t="s">
        <v>138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2" t="s">
        <v>225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Z36" s="90" t="s">
        <v>150</v>
      </c>
    </row>
    <row r="37" spans="1:165" ht="70.5" customHeight="1" x14ac:dyDescent="0.2">
      <c r="A37" s="173" t="s">
        <v>226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</row>
    <row r="38" spans="1:165" ht="24.75" customHeight="1" x14ac:dyDescent="0.2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</row>
    <row r="41" spans="1:165" ht="15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3" sqref="D1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2" t="s">
        <v>80</v>
      </c>
      <c r="B1" s="202"/>
      <c r="C1" s="202"/>
      <c r="D1" s="9" t="s">
        <v>150</v>
      </c>
    </row>
    <row r="2" spans="1:4" ht="24" customHeight="1" x14ac:dyDescent="0.3">
      <c r="A2" s="203" t="s">
        <v>210</v>
      </c>
      <c r="B2" s="203"/>
      <c r="C2" s="203"/>
    </row>
    <row r="3" spans="1:4" ht="24" customHeight="1" x14ac:dyDescent="0.3">
      <c r="A3" s="51"/>
    </row>
    <row r="4" spans="1:4" ht="24" customHeight="1" x14ac:dyDescent="0.2">
      <c r="A4" s="53" t="s">
        <v>81</v>
      </c>
      <c r="B4" s="53" t="s">
        <v>0</v>
      </c>
      <c r="C4" s="53" t="s">
        <v>82</v>
      </c>
    </row>
    <row r="5" spans="1:4" ht="19.5" customHeight="1" x14ac:dyDescent="0.2">
      <c r="A5" s="53">
        <v>1</v>
      </c>
      <c r="B5" s="53">
        <v>2</v>
      </c>
      <c r="C5" s="53">
        <v>3</v>
      </c>
    </row>
    <row r="6" spans="1:4" ht="24" customHeight="1" x14ac:dyDescent="0.2">
      <c r="A6" s="54"/>
      <c r="B6" s="74" t="s">
        <v>83</v>
      </c>
      <c r="C6" s="124">
        <f>11045421.69/1000</f>
        <v>11045.421689999999</v>
      </c>
    </row>
    <row r="7" spans="1:4" ht="24" customHeight="1" x14ac:dyDescent="0.2">
      <c r="A7" s="54"/>
      <c r="B7" s="56" t="s">
        <v>84</v>
      </c>
      <c r="C7" s="73">
        <f>7506588.24/1000</f>
        <v>7506.58824</v>
      </c>
    </row>
    <row r="8" spans="1:4" ht="24" customHeight="1" x14ac:dyDescent="0.2">
      <c r="A8" s="54"/>
      <c r="B8" s="57" t="s">
        <v>4</v>
      </c>
      <c r="C8" s="73"/>
    </row>
    <row r="9" spans="1:4" ht="24" customHeight="1" x14ac:dyDescent="0.2">
      <c r="A9" s="54"/>
      <c r="B9" s="57" t="s">
        <v>85</v>
      </c>
      <c r="C9" s="73">
        <f>4810.76</f>
        <v>4810.76</v>
      </c>
    </row>
    <row r="10" spans="1:4" ht="24" customHeight="1" x14ac:dyDescent="0.2">
      <c r="A10" s="54"/>
      <c r="B10" s="58" t="s">
        <v>86</v>
      </c>
      <c r="C10" s="73">
        <f>3082614.47/1000</f>
        <v>3082.61447</v>
      </c>
    </row>
    <row r="11" spans="1:4" ht="24" customHeight="1" x14ac:dyDescent="0.2">
      <c r="A11" s="54"/>
      <c r="B11" s="57" t="s">
        <v>4</v>
      </c>
      <c r="C11" s="73"/>
    </row>
    <row r="12" spans="1:4" ht="24" customHeight="1" x14ac:dyDescent="0.2">
      <c r="A12" s="54"/>
      <c r="B12" s="57" t="s">
        <v>85</v>
      </c>
      <c r="C12" s="125">
        <f>135429.96/1000</f>
        <v>135.42995999999999</v>
      </c>
    </row>
    <row r="13" spans="1:4" ht="24" customHeight="1" x14ac:dyDescent="0.2">
      <c r="A13" s="54"/>
      <c r="B13" s="74" t="s">
        <v>87</v>
      </c>
      <c r="C13" s="124">
        <f>C14+C18+C19+C20+0.01</f>
        <v>820.93758000000003</v>
      </c>
    </row>
    <row r="14" spans="1:4" ht="24" customHeight="1" x14ac:dyDescent="0.2">
      <c r="A14" s="54"/>
      <c r="B14" s="56" t="s">
        <v>88</v>
      </c>
      <c r="C14" s="73">
        <f>C16+C17</f>
        <v>748.94667000000004</v>
      </c>
    </row>
    <row r="15" spans="1:4" ht="24" customHeight="1" x14ac:dyDescent="0.2">
      <c r="A15" s="54"/>
      <c r="B15" s="59" t="s">
        <v>4</v>
      </c>
      <c r="C15" s="73"/>
    </row>
    <row r="16" spans="1:4" ht="24" customHeight="1" x14ac:dyDescent="0.2">
      <c r="A16" s="54"/>
      <c r="B16" s="59" t="s">
        <v>89</v>
      </c>
      <c r="C16" s="73">
        <f>748946.67/1000</f>
        <v>748.94667000000004</v>
      </c>
    </row>
    <row r="17" spans="1:4" ht="33" customHeight="1" x14ac:dyDescent="0.2">
      <c r="A17" s="54"/>
      <c r="B17" s="59" t="s">
        <v>90</v>
      </c>
      <c r="C17" s="73">
        <v>0</v>
      </c>
    </row>
    <row r="18" spans="1:4" ht="24" customHeight="1" x14ac:dyDescent="0.2">
      <c r="A18" s="54"/>
      <c r="B18" s="56" t="s">
        <v>91</v>
      </c>
      <c r="C18" s="73">
        <v>0</v>
      </c>
    </row>
    <row r="19" spans="1:4" ht="24" customHeight="1" x14ac:dyDescent="0.2">
      <c r="A19" s="54"/>
      <c r="B19" s="56" t="s">
        <v>92</v>
      </c>
      <c r="C19" s="73">
        <f>(11528.52-17026.2)/1000</f>
        <v>-5.4976799999999999</v>
      </c>
      <c r="D19" s="30" t="s">
        <v>194</v>
      </c>
    </row>
    <row r="20" spans="1:4" ht="24" customHeight="1" x14ac:dyDescent="0.2">
      <c r="A20" s="54"/>
      <c r="B20" s="56" t="s">
        <v>93</v>
      </c>
      <c r="C20" s="73">
        <f>(77478.59)/1000</f>
        <v>77.478589999999997</v>
      </c>
      <c r="D20" s="30" t="s">
        <v>195</v>
      </c>
    </row>
    <row r="21" spans="1:4" ht="24" customHeight="1" x14ac:dyDescent="0.2">
      <c r="A21" s="54"/>
      <c r="B21" s="74" t="s">
        <v>94</v>
      </c>
      <c r="C21" s="124">
        <f>C23+C24</f>
        <v>2.286</v>
      </c>
    </row>
    <row r="22" spans="1:4" ht="24" customHeight="1" x14ac:dyDescent="0.2">
      <c r="A22" s="54"/>
      <c r="B22" s="56" t="s">
        <v>12</v>
      </c>
      <c r="C22" s="73"/>
    </row>
    <row r="23" spans="1:4" ht="24" customHeight="1" x14ac:dyDescent="0.2">
      <c r="A23" s="54"/>
      <c r="B23" s="56" t="s">
        <v>95</v>
      </c>
      <c r="C23" s="73">
        <v>0</v>
      </c>
    </row>
    <row r="24" spans="1:4" ht="24" customHeight="1" x14ac:dyDescent="0.2">
      <c r="A24" s="54"/>
      <c r="B24" s="56" t="s">
        <v>96</v>
      </c>
      <c r="C24" s="73">
        <f>(2286)/1000</f>
        <v>2.286</v>
      </c>
      <c r="D24" s="30" t="s">
        <v>196</v>
      </c>
    </row>
    <row r="25" spans="1:4" ht="24" customHeight="1" x14ac:dyDescent="0.2">
      <c r="A25" s="54"/>
      <c r="B25" s="57" t="s">
        <v>4</v>
      </c>
      <c r="C25" s="73"/>
    </row>
    <row r="26" spans="1:4" ht="24" customHeight="1" x14ac:dyDescent="0.2">
      <c r="A26" s="54"/>
      <c r="B26" s="57" t="s">
        <v>97</v>
      </c>
      <c r="C26" s="73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tabSelected="1" view="pageBreakPreview" zoomScaleNormal="100" zoomScaleSheetLayoutView="100" workbookViewId="0">
      <pane ySplit="7" topLeftCell="A39" activePane="bottomLeft" state="frozen"/>
      <selection pane="bottomLeft" activeCell="AZ57" sqref="AZ57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1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15" customHeight="1" x14ac:dyDescent="0.2">
      <c r="A2" s="235" t="s">
        <v>211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</row>
    <row r="3" spans="1:63" ht="12.75" x14ac:dyDescent="0.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"/>
      <c r="BD3" s="1"/>
      <c r="BE3" s="1"/>
      <c r="BF3" s="1"/>
    </row>
    <row r="4" spans="1:63" ht="12.75" customHeight="1" x14ac:dyDescent="0.2">
      <c r="A4" s="242" t="s">
        <v>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4"/>
      <c r="AY4" s="251" t="s">
        <v>1</v>
      </c>
      <c r="AZ4" s="254" t="s">
        <v>2</v>
      </c>
      <c r="BA4" s="236" t="s">
        <v>3</v>
      </c>
      <c r="BB4" s="237"/>
      <c r="BC4" s="237"/>
      <c r="BD4" s="237"/>
      <c r="BE4" s="237"/>
      <c r="BF4" s="237"/>
    </row>
    <row r="5" spans="1:63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7"/>
      <c r="AY5" s="252"/>
      <c r="AZ5" s="240"/>
      <c r="BA5" s="240" t="s">
        <v>26</v>
      </c>
      <c r="BB5" s="253" t="s">
        <v>4</v>
      </c>
      <c r="BC5" s="253"/>
      <c r="BD5" s="253"/>
      <c r="BE5" s="253"/>
      <c r="BF5" s="253"/>
    </row>
    <row r="6" spans="1:63" ht="61.5" customHeight="1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7"/>
      <c r="AY6" s="252"/>
      <c r="AZ6" s="240"/>
      <c r="BA6" s="240"/>
      <c r="BB6" s="239" t="s">
        <v>5</v>
      </c>
      <c r="BC6" s="239" t="s">
        <v>6</v>
      </c>
      <c r="BD6" s="239" t="s">
        <v>7</v>
      </c>
      <c r="BE6" s="239" t="s">
        <v>8</v>
      </c>
      <c r="BF6" s="239"/>
    </row>
    <row r="7" spans="1:63" ht="30" customHeight="1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50"/>
      <c r="AY7" s="253"/>
      <c r="AZ7" s="241"/>
      <c r="BA7" s="241"/>
      <c r="BB7" s="239"/>
      <c r="BC7" s="239"/>
      <c r="BD7" s="239"/>
      <c r="BE7" s="169" t="s">
        <v>9</v>
      </c>
      <c r="BF7" s="169" t="s">
        <v>10</v>
      </c>
      <c r="BG7" s="119">
        <f>BA9+BA118-BA30</f>
        <v>0</v>
      </c>
      <c r="BK7" s="9" t="s">
        <v>136</v>
      </c>
    </row>
    <row r="8" spans="1:63" ht="11.1" customHeight="1" x14ac:dyDescent="0.2">
      <c r="A8" s="236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  <c r="AY8" s="2">
        <v>2</v>
      </c>
      <c r="AZ8" s="71">
        <v>3</v>
      </c>
      <c r="BA8" s="71">
        <v>4</v>
      </c>
      <c r="BB8" s="170">
        <v>5</v>
      </c>
      <c r="BC8" s="170">
        <v>6</v>
      </c>
      <c r="BD8" s="170">
        <v>7</v>
      </c>
      <c r="BE8" s="169">
        <v>8</v>
      </c>
      <c r="BF8" s="169">
        <v>9</v>
      </c>
    </row>
    <row r="9" spans="1:63" ht="23.25" customHeight="1" x14ac:dyDescent="0.2">
      <c r="A9" s="3"/>
      <c r="B9" s="255" t="s">
        <v>27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6"/>
      <c r="AY9" s="11">
        <v>100</v>
      </c>
      <c r="AZ9" s="72" t="s">
        <v>28</v>
      </c>
      <c r="BA9" s="143">
        <f>BA10+BA12+BA18+BA19+BA20+BA25+BA28+BA17</f>
        <v>22394405.609999999</v>
      </c>
      <c r="BB9" s="143">
        <f>BB12</f>
        <v>18929880</v>
      </c>
      <c r="BC9" s="143">
        <f>BC20</f>
        <v>1414481.6099999999</v>
      </c>
      <c r="BD9" s="143">
        <f>BD20</f>
        <v>0</v>
      </c>
      <c r="BE9" s="143">
        <f>BE10+BE12+BE18+BE19+BE25+BE28+BE17</f>
        <v>2050044</v>
      </c>
      <c r="BF9" s="143">
        <f>BF12+BF25</f>
        <v>0</v>
      </c>
      <c r="BG9" s="103"/>
    </row>
    <row r="10" spans="1:63" ht="21.75" customHeight="1" x14ac:dyDescent="0.2">
      <c r="A10" s="5"/>
      <c r="B10" s="217" t="s">
        <v>52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72" t="s">
        <v>229</v>
      </c>
      <c r="BA10" s="144">
        <f>BE10</f>
        <v>130266.00000000001</v>
      </c>
      <c r="BB10" s="145" t="s">
        <v>28</v>
      </c>
      <c r="BC10" s="145" t="s">
        <v>28</v>
      </c>
      <c r="BD10" s="145" t="s">
        <v>28</v>
      </c>
      <c r="BE10" s="145">
        <f>162000-5680.8-26053.2</f>
        <v>130266.00000000001</v>
      </c>
      <c r="BF10" s="145" t="s">
        <v>28</v>
      </c>
      <c r="BG10" s="81" t="s">
        <v>159</v>
      </c>
    </row>
    <row r="11" spans="1:63" ht="13.5" customHeight="1" x14ac:dyDescent="0.2">
      <c r="A11" s="5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/>
      <c r="AZ11" s="72"/>
      <c r="BA11" s="144"/>
      <c r="BB11" s="145"/>
      <c r="BC11" s="145"/>
      <c r="BD11" s="145"/>
      <c r="BE11" s="145"/>
      <c r="BF11" s="145"/>
    </row>
    <row r="12" spans="1:63" ht="15" customHeight="1" x14ac:dyDescent="0.2">
      <c r="A12" s="5"/>
      <c r="B12" s="217" t="s">
        <v>32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120</v>
      </c>
      <c r="AZ12" s="72" t="s">
        <v>230</v>
      </c>
      <c r="BA12" s="144">
        <f>BB12+BE12+BF12</f>
        <v>20272848</v>
      </c>
      <c r="BB12" s="145">
        <f>SUM(BB13:BB16)</f>
        <v>18929880</v>
      </c>
      <c r="BC12" s="145" t="s">
        <v>28</v>
      </c>
      <c r="BD12" s="145" t="s">
        <v>28</v>
      </c>
      <c r="BE12" s="145">
        <f>SUM(BE13:BE16)</f>
        <v>1342968</v>
      </c>
      <c r="BF12" s="145">
        <v>0</v>
      </c>
      <c r="BG12" s="81" t="s">
        <v>36</v>
      </c>
    </row>
    <row r="13" spans="1:63" s="91" customFormat="1" ht="45.75" hidden="1" customHeight="1" x14ac:dyDescent="0.2">
      <c r="A13" s="209" t="s">
        <v>153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04"/>
      <c r="AZ13" s="105" t="s">
        <v>155</v>
      </c>
      <c r="BA13" s="146"/>
      <c r="BB13" s="146">
        <f>16907880+358000</f>
        <v>17265880</v>
      </c>
      <c r="BC13" s="146"/>
      <c r="BD13" s="146"/>
      <c r="BE13" s="146"/>
      <c r="BF13" s="146"/>
      <c r="BG13" s="208" t="s">
        <v>152</v>
      </c>
    </row>
    <row r="14" spans="1:63" s="91" customFormat="1" ht="33.75" hidden="1" customHeight="1" x14ac:dyDescent="0.2">
      <c r="A14" s="209" t="s">
        <v>154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104"/>
      <c r="AZ14" s="105" t="s">
        <v>156</v>
      </c>
      <c r="BA14" s="146"/>
      <c r="BB14" s="146">
        <f>1664000</f>
        <v>1664000</v>
      </c>
      <c r="BC14" s="146"/>
      <c r="BD14" s="146"/>
      <c r="BE14" s="146"/>
      <c r="BF14" s="146"/>
      <c r="BG14" s="208"/>
    </row>
    <row r="15" spans="1:63" s="91" customFormat="1" ht="33.75" hidden="1" customHeight="1" x14ac:dyDescent="0.2">
      <c r="A15" s="257" t="s">
        <v>224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9"/>
      <c r="AY15" s="104"/>
      <c r="AZ15" s="105" t="s">
        <v>155</v>
      </c>
      <c r="BA15" s="146"/>
      <c r="BB15" s="146"/>
      <c r="BC15" s="146"/>
      <c r="BD15" s="146"/>
      <c r="BE15" s="146"/>
      <c r="BF15" s="146"/>
      <c r="BG15" s="208"/>
    </row>
    <row r="16" spans="1:63" s="91" customFormat="1" ht="16.5" hidden="1" customHeight="1" x14ac:dyDescent="0.2">
      <c r="A16" s="209" t="s">
        <v>158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104"/>
      <c r="AZ16" s="105" t="s">
        <v>157</v>
      </c>
      <c r="BA16" s="146"/>
      <c r="BB16" s="146"/>
      <c r="BC16" s="146"/>
      <c r="BD16" s="146"/>
      <c r="BE16" s="146">
        <f>700000+100000+100000+100000+292950+50018</f>
        <v>1342968</v>
      </c>
      <c r="BF16" s="146"/>
      <c r="BG16" s="208"/>
    </row>
    <row r="17" spans="1:59" s="129" customFormat="1" ht="31.5" customHeight="1" x14ac:dyDescent="0.2">
      <c r="A17" s="225" t="s">
        <v>234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161">
        <v>130</v>
      </c>
      <c r="AZ17" s="72" t="s">
        <v>236</v>
      </c>
      <c r="BA17" s="144">
        <f>BE17</f>
        <v>100360</v>
      </c>
      <c r="BB17" s="147"/>
      <c r="BC17" s="147"/>
      <c r="BD17" s="147"/>
      <c r="BE17" s="147">
        <f>100000+360</f>
        <v>100360</v>
      </c>
      <c r="BF17" s="147"/>
      <c r="BG17" s="162"/>
    </row>
    <row r="18" spans="1:59" ht="24" customHeight="1" x14ac:dyDescent="0.2">
      <c r="A18" s="5"/>
      <c r="B18" s="217" t="s">
        <v>31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>
        <v>140</v>
      </c>
      <c r="AZ18" s="72" t="s">
        <v>231</v>
      </c>
      <c r="BA18" s="144">
        <f>BE18</f>
        <v>60000</v>
      </c>
      <c r="BB18" s="145" t="s">
        <v>28</v>
      </c>
      <c r="BC18" s="145" t="s">
        <v>28</v>
      </c>
      <c r="BD18" s="145" t="s">
        <v>28</v>
      </c>
      <c r="BE18" s="147">
        <f>60000</f>
        <v>60000</v>
      </c>
      <c r="BF18" s="145" t="s">
        <v>28</v>
      </c>
      <c r="BG18" s="81" t="s">
        <v>197</v>
      </c>
    </row>
    <row r="19" spans="1:59" ht="62.25" customHeight="1" x14ac:dyDescent="0.2">
      <c r="A19" s="5"/>
      <c r="B19" s="217" t="s">
        <v>30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8">
        <v>150</v>
      </c>
      <c r="AZ19" s="72" t="s">
        <v>37</v>
      </c>
      <c r="BA19" s="144">
        <f>BE19</f>
        <v>0</v>
      </c>
      <c r="BB19" s="145" t="s">
        <v>28</v>
      </c>
      <c r="BC19" s="145" t="s">
        <v>28</v>
      </c>
      <c r="BD19" s="145" t="s">
        <v>28</v>
      </c>
      <c r="BE19" s="145">
        <v>0</v>
      </c>
      <c r="BF19" s="145" t="s">
        <v>28</v>
      </c>
    </row>
    <row r="20" spans="1:59" ht="26.25" customHeight="1" x14ac:dyDescent="0.2">
      <c r="A20" s="5"/>
      <c r="B20" s="217" t="s">
        <v>33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8">
        <v>160</v>
      </c>
      <c r="AZ20" s="72" t="s">
        <v>232</v>
      </c>
      <c r="BA20" s="144">
        <f>BC20+BD20</f>
        <v>1414481.6099999999</v>
      </c>
      <c r="BB20" s="145" t="s">
        <v>28</v>
      </c>
      <c r="BC20" s="145">
        <f>SUM(BC21:BC24)</f>
        <v>1414481.6099999999</v>
      </c>
      <c r="BD20" s="145">
        <v>0</v>
      </c>
      <c r="BE20" s="145" t="s">
        <v>28</v>
      </c>
      <c r="BF20" s="145" t="s">
        <v>28</v>
      </c>
      <c r="BG20" s="81" t="s">
        <v>38</v>
      </c>
    </row>
    <row r="21" spans="1:59" s="91" customFormat="1" ht="21" hidden="1" customHeight="1" x14ac:dyDescent="0.2">
      <c r="A21" s="209" t="s">
        <v>175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1"/>
      <c r="AY21" s="104"/>
      <c r="AZ21" s="105" t="s">
        <v>176</v>
      </c>
      <c r="BA21" s="146"/>
      <c r="BB21" s="146"/>
      <c r="BC21" s="146">
        <f>15000+2482-375-3005.39</f>
        <v>14101.61</v>
      </c>
      <c r="BD21" s="146"/>
      <c r="BE21" s="146"/>
      <c r="BF21" s="146"/>
      <c r="BG21" s="81"/>
    </row>
    <row r="22" spans="1:59" s="91" customFormat="1" ht="21" hidden="1" customHeight="1" x14ac:dyDescent="0.2">
      <c r="A22" s="209" t="s">
        <v>192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104"/>
      <c r="AZ22" s="105" t="s">
        <v>191</v>
      </c>
      <c r="BA22" s="146"/>
      <c r="BB22" s="146"/>
      <c r="BC22" s="146">
        <f>37380</f>
        <v>37380</v>
      </c>
      <c r="BD22" s="146"/>
      <c r="BE22" s="146"/>
      <c r="BF22" s="146"/>
      <c r="BG22" s="81"/>
    </row>
    <row r="23" spans="1:59" s="91" customFormat="1" ht="21" hidden="1" customHeight="1" x14ac:dyDescent="0.2">
      <c r="A23" s="209" t="s">
        <v>223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104"/>
      <c r="AZ23" s="105" t="s">
        <v>238</v>
      </c>
      <c r="BA23" s="146"/>
      <c r="BB23" s="146"/>
      <c r="BC23" s="146">
        <f>100000</f>
        <v>100000</v>
      </c>
      <c r="BD23" s="146"/>
      <c r="BE23" s="146"/>
      <c r="BF23" s="146"/>
      <c r="BG23" s="81"/>
    </row>
    <row r="24" spans="1:59" s="91" customFormat="1" ht="12.75" hidden="1" customHeight="1" x14ac:dyDescent="0.2">
      <c r="A24" s="209" t="s">
        <v>240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104"/>
      <c r="AZ24" s="105" t="s">
        <v>239</v>
      </c>
      <c r="BA24" s="146"/>
      <c r="BB24" s="146"/>
      <c r="BC24" s="146">
        <v>1263000</v>
      </c>
      <c r="BD24" s="146"/>
      <c r="BE24" s="146"/>
      <c r="BF24" s="146"/>
      <c r="BG24" s="81"/>
    </row>
    <row r="25" spans="1:59" ht="12.75" customHeight="1" x14ac:dyDescent="0.2">
      <c r="A25" s="5"/>
      <c r="B25" s="217" t="s">
        <v>34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>
        <v>170</v>
      </c>
      <c r="AZ25" s="72" t="s">
        <v>233</v>
      </c>
      <c r="BA25" s="144">
        <f>BE25</f>
        <v>416450</v>
      </c>
      <c r="BB25" s="145" t="s">
        <v>28</v>
      </c>
      <c r="BC25" s="145" t="s">
        <v>28</v>
      </c>
      <c r="BD25" s="145" t="s">
        <v>28</v>
      </c>
      <c r="BE25" s="145">
        <f>SUM(BE26:BE27)</f>
        <v>416450</v>
      </c>
      <c r="BF25" s="145">
        <v>0</v>
      </c>
      <c r="BG25" s="81" t="s">
        <v>208</v>
      </c>
    </row>
    <row r="26" spans="1:59" s="91" customFormat="1" ht="32.25" hidden="1" customHeight="1" x14ac:dyDescent="0.2">
      <c r="A26" s="209" t="s">
        <v>249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04"/>
      <c r="AZ26" s="105" t="s">
        <v>250</v>
      </c>
      <c r="BA26" s="146"/>
      <c r="BB26" s="146"/>
      <c r="BC26" s="146"/>
      <c r="BD26" s="146"/>
      <c r="BE26" s="146">
        <f>386000+30450</f>
        <v>416450</v>
      </c>
      <c r="BF26" s="146"/>
      <c r="BG26" s="81"/>
    </row>
    <row r="27" spans="1:59" s="91" customFormat="1" ht="23.25" hidden="1" customHeight="1" x14ac:dyDescent="0.2">
      <c r="A27" s="209" t="s">
        <v>206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104"/>
      <c r="AZ27" s="105" t="s">
        <v>205</v>
      </c>
      <c r="BA27" s="146"/>
      <c r="BB27" s="146"/>
      <c r="BC27" s="146"/>
      <c r="BD27" s="146"/>
      <c r="BE27" s="146"/>
      <c r="BF27" s="146"/>
      <c r="BG27" s="81"/>
    </row>
    <row r="28" spans="1:59" ht="26.25" customHeight="1" x14ac:dyDescent="0.2">
      <c r="A28" s="5"/>
      <c r="B28" s="217" t="s">
        <v>35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>
        <v>180</v>
      </c>
      <c r="AZ28" s="72" t="s">
        <v>53</v>
      </c>
      <c r="BA28" s="144">
        <f>BE28</f>
        <v>0</v>
      </c>
      <c r="BB28" s="145" t="s">
        <v>28</v>
      </c>
      <c r="BC28" s="145" t="s">
        <v>28</v>
      </c>
      <c r="BD28" s="145" t="s">
        <v>28</v>
      </c>
      <c r="BE28" s="145">
        <v>0</v>
      </c>
      <c r="BF28" s="145">
        <v>0</v>
      </c>
    </row>
    <row r="29" spans="1:59" ht="26.25" customHeight="1" x14ac:dyDescent="0.2">
      <c r="A29" s="10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8"/>
      <c r="AZ29" s="72"/>
      <c r="BA29" s="144"/>
      <c r="BB29" s="145"/>
      <c r="BC29" s="145"/>
      <c r="BD29" s="145"/>
      <c r="BE29" s="145"/>
      <c r="BF29" s="145"/>
    </row>
    <row r="30" spans="1:59" ht="24.75" customHeight="1" x14ac:dyDescent="0.2">
      <c r="A30" s="3"/>
      <c r="B30" s="255" t="s">
        <v>39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6"/>
      <c r="AY30" s="11">
        <v>200</v>
      </c>
      <c r="AZ30" s="72" t="s">
        <v>28</v>
      </c>
      <c r="BA30" s="143">
        <f t="shared" ref="BA30:BF30" si="0">BA31+BA43+BA46+BA55+BA57+BA58</f>
        <v>23143352.280000001</v>
      </c>
      <c r="BB30" s="143">
        <f t="shared" si="0"/>
        <v>19545984.52</v>
      </c>
      <c r="BC30" s="143">
        <f t="shared" si="0"/>
        <v>1414481.61</v>
      </c>
      <c r="BD30" s="143">
        <f t="shared" si="0"/>
        <v>0</v>
      </c>
      <c r="BE30" s="143">
        <f t="shared" si="0"/>
        <v>2182886.15</v>
      </c>
      <c r="BF30" s="143">
        <f t="shared" si="0"/>
        <v>0</v>
      </c>
      <c r="BG30" s="106"/>
    </row>
    <row r="31" spans="1:59" ht="51" customHeight="1" x14ac:dyDescent="0.2">
      <c r="A31" s="5"/>
      <c r="B31" s="220" t="s">
        <v>40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1"/>
      <c r="AY31" s="12">
        <v>210</v>
      </c>
      <c r="AZ31" s="72"/>
      <c r="BA31" s="144">
        <f t="shared" ref="BA31:BF31" si="1">BA32+BA39+BA42</f>
        <v>17185172.91</v>
      </c>
      <c r="BB31" s="148">
        <f t="shared" si="1"/>
        <v>16177654.139999999</v>
      </c>
      <c r="BC31" s="148">
        <f t="shared" si="1"/>
        <v>14101.61</v>
      </c>
      <c r="BD31" s="148">
        <f t="shared" si="1"/>
        <v>0</v>
      </c>
      <c r="BE31" s="148">
        <f t="shared" si="1"/>
        <v>993417.16</v>
      </c>
      <c r="BF31" s="148">
        <f t="shared" si="1"/>
        <v>0</v>
      </c>
    </row>
    <row r="32" spans="1:59" ht="36" customHeight="1" x14ac:dyDescent="0.2">
      <c r="A32" s="5"/>
      <c r="B32" s="220" t="s">
        <v>41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12">
        <v>211</v>
      </c>
      <c r="AZ32" s="72"/>
      <c r="BA32" s="144">
        <f>BA33+BA36</f>
        <v>16888650.620000001</v>
      </c>
      <c r="BB32" s="148">
        <f t="shared" ref="BB32:BF32" si="2">BB33+BB36</f>
        <v>15895654.139999999</v>
      </c>
      <c r="BC32" s="148">
        <f t="shared" si="2"/>
        <v>0</v>
      </c>
      <c r="BD32" s="148">
        <f t="shared" si="2"/>
        <v>0</v>
      </c>
      <c r="BE32" s="148">
        <f>BE33+BE36</f>
        <v>992996.48</v>
      </c>
      <c r="BF32" s="148">
        <f t="shared" si="2"/>
        <v>0</v>
      </c>
    </row>
    <row r="33" spans="1:59" ht="35.25" customHeight="1" x14ac:dyDescent="0.2">
      <c r="A33" s="6"/>
      <c r="B33" s="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72" t="s">
        <v>15</v>
      </c>
      <c r="BA33" s="144">
        <f>BB33+BC33+BD33+BE33</f>
        <v>13038042.34</v>
      </c>
      <c r="BB33" s="145">
        <f>BB34+BB35</f>
        <v>12274321.859999999</v>
      </c>
      <c r="BC33" s="145">
        <v>0</v>
      </c>
      <c r="BD33" s="145">
        <v>0</v>
      </c>
      <c r="BE33" s="145">
        <f>324000+37977.35+34700+46000+34700+225000+61343.13</f>
        <v>763720.48</v>
      </c>
      <c r="BF33" s="145">
        <v>0</v>
      </c>
      <c r="BG33" s="81" t="s">
        <v>162</v>
      </c>
    </row>
    <row r="34" spans="1:59" s="91" customFormat="1" ht="12.75" hidden="1" customHeight="1" x14ac:dyDescent="0.2">
      <c r="A34" s="141"/>
      <c r="B34" s="142"/>
      <c r="C34" s="210" t="s">
        <v>189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04"/>
      <c r="AZ34" s="105"/>
      <c r="BA34" s="146"/>
      <c r="BB34" s="146">
        <f>11621511+276000</f>
        <v>11897511</v>
      </c>
      <c r="BC34" s="146"/>
      <c r="BD34" s="146"/>
      <c r="BE34" s="146"/>
      <c r="BF34" s="146"/>
      <c r="BG34" s="109"/>
    </row>
    <row r="35" spans="1:59" s="91" customFormat="1" ht="12.75" hidden="1" customHeight="1" x14ac:dyDescent="0.2">
      <c r="A35" s="141"/>
      <c r="B35" s="142"/>
      <c r="C35" s="210" t="s">
        <v>190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104"/>
      <c r="AZ35" s="105"/>
      <c r="BA35" s="146"/>
      <c r="BB35" s="146">
        <v>376810.86</v>
      </c>
      <c r="BC35" s="146"/>
      <c r="BD35" s="146"/>
      <c r="BE35" s="146"/>
      <c r="BF35" s="146"/>
      <c r="BG35" s="109"/>
    </row>
    <row r="36" spans="1:59" ht="12.75" customHeight="1" x14ac:dyDescent="0.2">
      <c r="A36" s="153"/>
      <c r="B36" s="171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8"/>
      <c r="AZ36" s="72" t="s">
        <v>16</v>
      </c>
      <c r="BA36" s="144">
        <f>BB36+BC36+BD36+BE36</f>
        <v>3850608.28</v>
      </c>
      <c r="BB36" s="145">
        <f>BB37+BB38</f>
        <v>3621332.28</v>
      </c>
      <c r="BC36" s="145">
        <v>0</v>
      </c>
      <c r="BD36" s="145">
        <v>0</v>
      </c>
      <c r="BE36" s="145">
        <f>96000+11852.33+10516.38+14000+10425.32+67950+18531.97</f>
        <v>229276.00000000003</v>
      </c>
      <c r="BF36" s="145">
        <v>0</v>
      </c>
      <c r="BG36" s="81" t="s">
        <v>161</v>
      </c>
    </row>
    <row r="37" spans="1:59" s="91" customFormat="1" ht="12.75" hidden="1" customHeight="1" x14ac:dyDescent="0.2">
      <c r="A37" s="138"/>
      <c r="B37" s="228" t="s">
        <v>189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4"/>
      <c r="AZ37" s="105"/>
      <c r="BA37" s="146"/>
      <c r="BB37" s="146">
        <f>3428172+82000</f>
        <v>3510172</v>
      </c>
      <c r="BC37" s="146"/>
      <c r="BD37" s="146"/>
      <c r="BE37" s="146"/>
      <c r="BF37" s="146"/>
      <c r="BG37" s="109"/>
    </row>
    <row r="38" spans="1:59" s="91" customFormat="1" ht="17.25" hidden="1" customHeight="1" x14ac:dyDescent="0.2">
      <c r="A38" s="138"/>
      <c r="B38" s="228" t="s">
        <v>190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4"/>
      <c r="AZ38" s="105"/>
      <c r="BA38" s="146"/>
      <c r="BB38" s="146">
        <v>111160.28</v>
      </c>
      <c r="BC38" s="146"/>
      <c r="BD38" s="146"/>
      <c r="BE38" s="146"/>
      <c r="BF38" s="146"/>
      <c r="BG38" s="109"/>
    </row>
    <row r="39" spans="1:59" ht="21.75" customHeight="1" x14ac:dyDescent="0.2">
      <c r="A39" s="153"/>
      <c r="B39" s="171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72" t="s">
        <v>14</v>
      </c>
      <c r="BA39" s="144">
        <f>BB39+BC39+BD39+BE39</f>
        <v>67003.360000000015</v>
      </c>
      <c r="BB39" s="145">
        <f>57700-13500+80000-71718.93</f>
        <v>52481.070000000007</v>
      </c>
      <c r="BC39" s="145">
        <f>17482-375-3005.39</f>
        <v>14101.61</v>
      </c>
      <c r="BD39" s="145">
        <v>0</v>
      </c>
      <c r="BE39" s="145">
        <f>SUM(BE40:BE41)</f>
        <v>420.68000000000029</v>
      </c>
      <c r="BF39" s="145">
        <v>0</v>
      </c>
      <c r="BG39" s="81" t="s">
        <v>160</v>
      </c>
    </row>
    <row r="40" spans="1:59" s="91" customFormat="1" ht="12.75" hidden="1" customHeight="1" x14ac:dyDescent="0.2">
      <c r="A40" s="138"/>
      <c r="B40" s="139"/>
      <c r="C40" s="210" t="s">
        <v>222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104"/>
      <c r="AZ40" s="105"/>
      <c r="BA40" s="146"/>
      <c r="BB40" s="146"/>
      <c r="BC40" s="146"/>
      <c r="BD40" s="146"/>
      <c r="BE40" s="146">
        <f>8000-7990.32</f>
        <v>9.680000000000291</v>
      </c>
      <c r="BF40" s="146"/>
      <c r="BG40" s="109"/>
    </row>
    <row r="41" spans="1:59" s="91" customFormat="1" ht="12.75" hidden="1" customHeight="1" x14ac:dyDescent="0.2">
      <c r="A41" s="138"/>
      <c r="B41" s="139"/>
      <c r="C41" s="210" t="s">
        <v>237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104"/>
      <c r="AZ41" s="105"/>
      <c r="BA41" s="146"/>
      <c r="BB41" s="146"/>
      <c r="BC41" s="146"/>
      <c r="BD41" s="146"/>
      <c r="BE41" s="146">
        <v>411</v>
      </c>
      <c r="BF41" s="146"/>
      <c r="BG41" s="109"/>
    </row>
    <row r="42" spans="1:59" ht="42.75" customHeight="1" x14ac:dyDescent="0.2">
      <c r="A42" s="153"/>
      <c r="B42" s="171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/>
      <c r="AZ42" s="72" t="s">
        <v>20</v>
      </c>
      <c r="BA42" s="144">
        <f>BB42+BC42+BD42+BE42</f>
        <v>229518.93</v>
      </c>
      <c r="BB42" s="145">
        <f>87800+70000+71718.93</f>
        <v>229518.93</v>
      </c>
      <c r="BC42" s="145">
        <v>0</v>
      </c>
      <c r="BD42" s="145">
        <v>0</v>
      </c>
      <c r="BE42" s="145"/>
      <c r="BF42" s="145">
        <v>0</v>
      </c>
      <c r="BG42" s="81" t="s">
        <v>227</v>
      </c>
    </row>
    <row r="43" spans="1:59" ht="12.75" customHeight="1" x14ac:dyDescent="0.2">
      <c r="A43" s="5"/>
      <c r="B43" s="220" t="s">
        <v>42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1"/>
      <c r="AY43" s="12">
        <v>220</v>
      </c>
      <c r="AZ43" s="72"/>
      <c r="BA43" s="144">
        <f>BA45</f>
        <v>0</v>
      </c>
      <c r="BB43" s="148">
        <f t="shared" ref="BB43:BF43" si="3">BB45</f>
        <v>0</v>
      </c>
      <c r="BC43" s="148">
        <f t="shared" si="3"/>
        <v>0</v>
      </c>
      <c r="BD43" s="148">
        <f t="shared" si="3"/>
        <v>0</v>
      </c>
      <c r="BE43" s="148">
        <f t="shared" si="3"/>
        <v>0</v>
      </c>
      <c r="BF43" s="148">
        <f t="shared" si="3"/>
        <v>0</v>
      </c>
    </row>
    <row r="44" spans="1:59" ht="12.75" customHeight="1" x14ac:dyDescent="0.2">
      <c r="A44" s="6"/>
      <c r="B44" s="7"/>
      <c r="C44" s="217" t="s">
        <v>12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/>
      <c r="AZ44" s="72"/>
      <c r="BA44" s="144"/>
      <c r="BB44" s="145"/>
      <c r="BC44" s="145"/>
      <c r="BD44" s="145"/>
      <c r="BE44" s="145"/>
      <c r="BF44" s="145"/>
    </row>
    <row r="45" spans="1:59" ht="27.75" customHeight="1" x14ac:dyDescent="0.2">
      <c r="A45" s="153"/>
      <c r="B45" s="171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/>
      <c r="AZ45" s="72" t="s">
        <v>17</v>
      </c>
      <c r="BA45" s="144">
        <f>BB45+BC45+BD45+BE45</f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</row>
    <row r="46" spans="1:59" ht="12.75" customHeight="1" x14ac:dyDescent="0.2">
      <c r="A46" s="153"/>
      <c r="B46" s="171"/>
      <c r="C46" s="220" t="s">
        <v>43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1"/>
      <c r="AY46" s="12">
        <v>230</v>
      </c>
      <c r="AZ46" s="72"/>
      <c r="BA46" s="144">
        <f t="shared" ref="BA46:BF46" si="4">BA49+BA50+BA54+BA48</f>
        <v>443276.26</v>
      </c>
      <c r="BB46" s="148">
        <f t="shared" si="4"/>
        <v>391240</v>
      </c>
      <c r="BC46" s="148">
        <f t="shared" si="4"/>
        <v>43287.05</v>
      </c>
      <c r="BD46" s="148">
        <f t="shared" si="4"/>
        <v>0</v>
      </c>
      <c r="BE46" s="148">
        <f>BE49+BE50+BE54+BE48</f>
        <v>8749.2100000000009</v>
      </c>
      <c r="BF46" s="148">
        <f t="shared" si="4"/>
        <v>0</v>
      </c>
    </row>
    <row r="47" spans="1:59" ht="26.25" customHeight="1" x14ac:dyDescent="0.2">
      <c r="A47" s="153"/>
      <c r="B47" s="171"/>
      <c r="C47" s="217" t="s">
        <v>12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8"/>
      <c r="AZ47" s="72"/>
      <c r="BA47" s="144"/>
      <c r="BB47" s="145"/>
      <c r="BC47" s="145"/>
      <c r="BD47" s="145"/>
      <c r="BE47" s="145"/>
      <c r="BF47" s="145"/>
    </row>
    <row r="48" spans="1:59" ht="24.75" customHeight="1" x14ac:dyDescent="0.2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2"/>
      <c r="AY48" s="8"/>
      <c r="AZ48" s="72" t="s">
        <v>151</v>
      </c>
      <c r="BA48" s="144">
        <f>BB48+BC48+BD48+BE48</f>
        <v>43287.05</v>
      </c>
      <c r="BB48" s="145"/>
      <c r="BC48" s="145">
        <f>20545.73+22741.32</f>
        <v>43287.05</v>
      </c>
      <c r="BD48" s="145">
        <v>0</v>
      </c>
      <c r="BE48" s="145">
        <v>0</v>
      </c>
      <c r="BF48" s="145">
        <v>0</v>
      </c>
      <c r="BG48" s="81" t="s">
        <v>241</v>
      </c>
    </row>
    <row r="49" spans="1:63" ht="12.75" customHeight="1" x14ac:dyDescent="0.2">
      <c r="A49" s="152"/>
      <c r="B49" s="233" t="s">
        <v>200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4"/>
      <c r="AY49" s="8"/>
      <c r="AZ49" s="72" t="s">
        <v>21</v>
      </c>
      <c r="BA49" s="144">
        <f>BB49+BC49+BD49+BE49</f>
        <v>356912</v>
      </c>
      <c r="BB49" s="145">
        <f>356912</f>
        <v>356912</v>
      </c>
      <c r="BC49" s="145">
        <v>0</v>
      </c>
      <c r="BD49" s="145">
        <v>0</v>
      </c>
      <c r="BE49" s="145">
        <v>0</v>
      </c>
      <c r="BF49" s="145">
        <v>0</v>
      </c>
      <c r="BG49" s="81" t="s">
        <v>228</v>
      </c>
    </row>
    <row r="50" spans="1:63" ht="12.75" customHeight="1" x14ac:dyDescent="0.2">
      <c r="A50" s="6"/>
      <c r="B50" s="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8"/>
      <c r="AZ50" s="72" t="s">
        <v>18</v>
      </c>
      <c r="BA50" s="144">
        <f>BB50+BC50+BD50+BE50</f>
        <v>34328</v>
      </c>
      <c r="BB50" s="145">
        <f>BB51+BB52+BB53</f>
        <v>34328</v>
      </c>
      <c r="BC50" s="145">
        <v>0</v>
      </c>
      <c r="BD50" s="145">
        <v>0</v>
      </c>
      <c r="BE50" s="145">
        <f>SUM(BE51:BE53)</f>
        <v>0</v>
      </c>
      <c r="BF50" s="145">
        <v>0</v>
      </c>
      <c r="BG50" s="81" t="s">
        <v>246</v>
      </c>
    </row>
    <row r="51" spans="1:63" s="91" customFormat="1" ht="12.75" hidden="1" customHeight="1" x14ac:dyDescent="0.2">
      <c r="A51" s="222" t="s">
        <v>201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4"/>
      <c r="AY51" s="104"/>
      <c r="AZ51" s="105"/>
      <c r="BA51" s="146"/>
      <c r="BB51" s="146">
        <f>1450</f>
        <v>1450</v>
      </c>
      <c r="BC51" s="146"/>
      <c r="BD51" s="146"/>
      <c r="BE51" s="146"/>
      <c r="BF51" s="146"/>
      <c r="BG51" s="109"/>
    </row>
    <row r="52" spans="1:63" s="91" customFormat="1" ht="12.75" hidden="1" customHeight="1" x14ac:dyDescent="0.2">
      <c r="A52" s="222" t="s">
        <v>186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4"/>
      <c r="AY52" s="104"/>
      <c r="AZ52" s="105"/>
      <c r="BA52" s="146"/>
      <c r="BB52" s="146">
        <f>17078+15800</f>
        <v>32878</v>
      </c>
      <c r="BC52" s="146"/>
      <c r="BD52" s="146"/>
      <c r="BE52" s="146"/>
      <c r="BF52" s="146"/>
      <c r="BG52" s="109"/>
    </row>
    <row r="53" spans="1:63" s="91" customFormat="1" ht="12.75" hidden="1" customHeight="1" x14ac:dyDescent="0.2">
      <c r="A53" s="222" t="s">
        <v>188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4"/>
      <c r="AY53" s="104"/>
      <c r="AZ53" s="105"/>
      <c r="BA53" s="146"/>
      <c r="BB53" s="146"/>
      <c r="BC53" s="146"/>
      <c r="BD53" s="146"/>
      <c r="BE53" s="146">
        <f>2000+7000-2400-3850-2750</f>
        <v>0</v>
      </c>
      <c r="BF53" s="146"/>
      <c r="BG53" s="109"/>
    </row>
    <row r="54" spans="1:63" ht="39" customHeight="1" x14ac:dyDescent="0.2">
      <c r="A54" s="153"/>
      <c r="B54" s="171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8"/>
      <c r="AY54" s="8"/>
      <c r="AZ54" s="72" t="s">
        <v>19</v>
      </c>
      <c r="BA54" s="144">
        <f t="shared" ref="BA54" si="5">BB54+BC54+BD54+BE54</f>
        <v>8749.2100000000009</v>
      </c>
      <c r="BB54" s="145"/>
      <c r="BC54" s="145">
        <v>0</v>
      </c>
      <c r="BD54" s="145">
        <v>0</v>
      </c>
      <c r="BE54" s="145">
        <f>5000+5973.25-462.22-1761.82</f>
        <v>8749.2100000000009</v>
      </c>
      <c r="BF54" s="145">
        <v>0</v>
      </c>
      <c r="BG54" s="260" t="s">
        <v>244</v>
      </c>
      <c r="BH54" s="261"/>
      <c r="BI54" s="261"/>
      <c r="BJ54" s="261"/>
      <c r="BK54" s="261"/>
    </row>
    <row r="55" spans="1:63" ht="12.75" customHeight="1" x14ac:dyDescent="0.2">
      <c r="A55" s="153"/>
      <c r="B55" s="171"/>
      <c r="C55" s="220" t="s">
        <v>44</v>
      </c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1"/>
      <c r="AY55" s="12">
        <v>240</v>
      </c>
      <c r="AZ55" s="72"/>
      <c r="BA55" s="144"/>
      <c r="BB55" s="148"/>
      <c r="BC55" s="148"/>
      <c r="BD55" s="148"/>
      <c r="BE55" s="148"/>
      <c r="BF55" s="148"/>
    </row>
    <row r="56" spans="1:63" ht="12.75" x14ac:dyDescent="0.2">
      <c r="A56" s="153"/>
      <c r="B56" s="171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8"/>
      <c r="AZ56" s="72"/>
      <c r="BA56" s="144"/>
      <c r="BB56" s="145"/>
      <c r="BC56" s="145"/>
      <c r="BD56" s="145"/>
      <c r="BE56" s="145"/>
      <c r="BF56" s="145"/>
    </row>
    <row r="57" spans="1:63" ht="12.75" customHeight="1" x14ac:dyDescent="0.2">
      <c r="A57" s="153"/>
      <c r="B57" s="171"/>
      <c r="C57" s="220" t="s">
        <v>45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1"/>
      <c r="AY57" s="12">
        <v>250</v>
      </c>
      <c r="AZ57" s="72" t="s">
        <v>55</v>
      </c>
      <c r="BA57" s="144">
        <f>BD57</f>
        <v>0</v>
      </c>
      <c r="BB57" s="148">
        <v>0</v>
      </c>
      <c r="BC57" s="148">
        <v>0</v>
      </c>
      <c r="BD57" s="148">
        <v>0</v>
      </c>
      <c r="BE57" s="148">
        <v>0</v>
      </c>
      <c r="BF57" s="148">
        <v>0</v>
      </c>
      <c r="BG57" s="81" t="s">
        <v>56</v>
      </c>
    </row>
    <row r="58" spans="1:63" ht="12.75" customHeight="1" x14ac:dyDescent="0.2">
      <c r="A58" s="5"/>
      <c r="B58" s="220" t="s">
        <v>54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1"/>
      <c r="AY58" s="12">
        <v>260</v>
      </c>
      <c r="AZ58" s="72" t="s">
        <v>13</v>
      </c>
      <c r="BA58" s="144">
        <f>BB58+BC58+BD58+BE58</f>
        <v>5514903.1100000003</v>
      </c>
      <c r="BB58" s="148">
        <f>SUM(BB59:BB86)</f>
        <v>2977090.38</v>
      </c>
      <c r="BC58" s="148">
        <f>SUM(BC59:BC109)</f>
        <v>1357092.9500000002</v>
      </c>
      <c r="BD58" s="148">
        <v>0</v>
      </c>
      <c r="BE58" s="148">
        <f>SUM(BE59:BE109)</f>
        <v>1180719.78</v>
      </c>
      <c r="BF58" s="148">
        <v>0</v>
      </c>
    </row>
    <row r="59" spans="1:63" s="91" customFormat="1" ht="12.75" hidden="1" customHeight="1" x14ac:dyDescent="0.2">
      <c r="A59" s="20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1"/>
      <c r="AY59" s="262">
        <v>4000</v>
      </c>
      <c r="AZ59" s="105" t="s">
        <v>163</v>
      </c>
      <c r="BA59" s="146"/>
      <c r="BB59" s="146">
        <f>44400</f>
        <v>44400</v>
      </c>
      <c r="BC59" s="146"/>
      <c r="BD59" s="146"/>
      <c r="BE59" s="146"/>
      <c r="BF59" s="146"/>
      <c r="BG59" s="208" t="s">
        <v>152</v>
      </c>
    </row>
    <row r="60" spans="1:63" s="91" customFormat="1" ht="12.75" hidden="1" customHeight="1" x14ac:dyDescent="0.2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263"/>
      <c r="AZ60" s="105" t="s">
        <v>164</v>
      </c>
      <c r="BA60" s="146"/>
      <c r="BB60" s="146">
        <f>1116642+793.1+5709-793.1</f>
        <v>1122351</v>
      </c>
      <c r="BC60" s="146"/>
      <c r="BD60" s="146"/>
      <c r="BE60" s="146"/>
      <c r="BF60" s="146"/>
      <c r="BG60" s="208"/>
    </row>
    <row r="61" spans="1:63" s="91" customFormat="1" ht="12.75" hidden="1" customHeight="1" x14ac:dyDescent="0.2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1"/>
      <c r="AY61" s="263"/>
      <c r="AZ61" s="105" t="s">
        <v>165</v>
      </c>
      <c r="BA61" s="146"/>
      <c r="BB61" s="146">
        <f>881756+9961.99-795-9961.99</f>
        <v>880961</v>
      </c>
      <c r="BC61" s="146"/>
      <c r="BD61" s="146"/>
      <c r="BE61" s="146"/>
      <c r="BF61" s="146"/>
      <c r="BG61" s="208"/>
    </row>
    <row r="62" spans="1:63" s="91" customFormat="1" ht="12.75" hidden="1" customHeight="1" x14ac:dyDescent="0.2">
      <c r="A62" s="209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1"/>
      <c r="AY62" s="263"/>
      <c r="AZ62" s="105" t="s">
        <v>166</v>
      </c>
      <c r="BA62" s="146"/>
      <c r="BB62" s="146">
        <f>48809+1074.03-4914-1074.03</f>
        <v>43895</v>
      </c>
      <c r="BC62" s="146"/>
      <c r="BD62" s="146"/>
      <c r="BE62" s="146"/>
      <c r="BF62" s="146"/>
      <c r="BG62" s="208"/>
    </row>
    <row r="63" spans="1:63" s="91" customFormat="1" ht="12.75" hidden="1" customHeight="1" x14ac:dyDescent="0.2">
      <c r="A63" s="209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1"/>
      <c r="AY63" s="263"/>
      <c r="AZ63" s="105" t="s">
        <v>167</v>
      </c>
      <c r="BA63" s="146"/>
      <c r="BB63" s="146">
        <f>302106+66601.28-11829.12-38390.96-18446.18+11829.12+3605</f>
        <v>315475.14</v>
      </c>
      <c r="BC63" s="146"/>
      <c r="BD63" s="146"/>
      <c r="BE63" s="146"/>
      <c r="BF63" s="146"/>
      <c r="BG63" s="208"/>
    </row>
    <row r="64" spans="1:63" s="91" customFormat="1" ht="12.75" hidden="1" customHeight="1" x14ac:dyDescent="0.2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1"/>
      <c r="AY64" s="263"/>
      <c r="AZ64" s="105" t="s">
        <v>168</v>
      </c>
      <c r="BA64" s="146"/>
      <c r="BB64" s="146">
        <f>434944-37209.98+13500-6560-150000-3605</f>
        <v>251069.02000000002</v>
      </c>
      <c r="BC64" s="146"/>
      <c r="BD64" s="146"/>
      <c r="BE64" s="146"/>
      <c r="BF64" s="146"/>
      <c r="BG64" s="208"/>
    </row>
    <row r="65" spans="1:60" s="91" customFormat="1" ht="12.75" hidden="1" customHeight="1" x14ac:dyDescent="0.2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1"/>
      <c r="AY65" s="263"/>
      <c r="AZ65" s="105" t="s">
        <v>169</v>
      </c>
      <c r="BA65" s="146"/>
      <c r="BB65" s="146">
        <f>156800-29391.3+44950.96+18446.18</f>
        <v>190805.84</v>
      </c>
      <c r="BC65" s="146"/>
      <c r="BD65" s="146"/>
      <c r="BE65" s="146"/>
      <c r="BF65" s="146"/>
      <c r="BG65" s="208"/>
    </row>
    <row r="66" spans="1:60" s="91" customFormat="1" ht="12.75" hidden="1" customHeight="1" x14ac:dyDescent="0.2">
      <c r="A66" s="264" t="s">
        <v>171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6"/>
      <c r="AY66" s="263"/>
      <c r="AZ66" s="105" t="s">
        <v>168</v>
      </c>
      <c r="BA66" s="146"/>
      <c r="BB66" s="146"/>
      <c r="BC66" s="146"/>
      <c r="BD66" s="146"/>
      <c r="BE66" s="146"/>
      <c r="BF66" s="146"/>
      <c r="BG66" s="208"/>
    </row>
    <row r="67" spans="1:60" s="91" customFormat="1" ht="12.75" hidden="1" customHeight="1" x14ac:dyDescent="0.2">
      <c r="A67" s="267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9"/>
      <c r="AY67" s="263"/>
      <c r="AZ67" s="105" t="s">
        <v>170</v>
      </c>
      <c r="BA67" s="146"/>
      <c r="BB67" s="146"/>
      <c r="BC67" s="146"/>
      <c r="BD67" s="146"/>
      <c r="BE67" s="146"/>
      <c r="BF67" s="146"/>
      <c r="BG67" s="208"/>
    </row>
    <row r="68" spans="1:60" s="91" customFormat="1" ht="12.75" hidden="1" customHeight="1" x14ac:dyDescent="0.2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1"/>
      <c r="AY68" s="270">
        <v>4199</v>
      </c>
      <c r="AZ68" s="105" t="s">
        <v>163</v>
      </c>
      <c r="BA68" s="146"/>
      <c r="BB68" s="146">
        <v>3485.64</v>
      </c>
      <c r="BC68" s="146"/>
      <c r="BD68" s="146"/>
      <c r="BE68" s="146"/>
      <c r="BF68" s="146"/>
      <c r="BG68" s="208"/>
    </row>
    <row r="69" spans="1:60" s="91" customFormat="1" ht="12.75" hidden="1" customHeight="1" x14ac:dyDescent="0.2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1"/>
      <c r="AY69" s="270"/>
      <c r="AZ69" s="105" t="s">
        <v>164</v>
      </c>
      <c r="BA69" s="146"/>
      <c r="BB69" s="146">
        <f>64.97+169.35</f>
        <v>234.32</v>
      </c>
      <c r="BC69" s="146"/>
      <c r="BD69" s="146"/>
      <c r="BE69" s="146"/>
      <c r="BF69" s="146"/>
      <c r="BG69" s="208"/>
      <c r="BH69" s="155">
        <f>BB60+BB61+BB62+BB69+BB70+BB71+BE89+BE90+BE91+BE101+BE102+BE103</f>
        <v>2308367.08</v>
      </c>
    </row>
    <row r="70" spans="1:60" s="91" customFormat="1" ht="12.75" hidden="1" customHeight="1" x14ac:dyDescent="0.2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1"/>
      <c r="AY70" s="270"/>
      <c r="AZ70" s="105" t="s">
        <v>165</v>
      </c>
      <c r="BA70" s="146"/>
      <c r="BB70" s="146">
        <f>48254.6+2816.4</f>
        <v>51071</v>
      </c>
      <c r="BC70" s="146"/>
      <c r="BD70" s="146"/>
      <c r="BE70" s="146"/>
      <c r="BF70" s="146"/>
      <c r="BG70" s="208"/>
    </row>
    <row r="71" spans="1:60" s="91" customFormat="1" ht="12.75" hidden="1" customHeight="1" x14ac:dyDescent="0.2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1"/>
      <c r="AY71" s="270"/>
      <c r="AZ71" s="105" t="s">
        <v>166</v>
      </c>
      <c r="BA71" s="146"/>
      <c r="BB71" s="146">
        <f>2844.73+101.78</f>
        <v>2946.51</v>
      </c>
      <c r="BC71" s="146"/>
      <c r="BD71" s="146"/>
      <c r="BE71" s="146"/>
      <c r="BF71" s="146"/>
      <c r="BG71" s="208"/>
    </row>
    <row r="72" spans="1:60" s="91" customFormat="1" ht="12.75" hidden="1" customHeight="1" x14ac:dyDescent="0.2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1"/>
      <c r="AY72" s="270"/>
      <c r="AZ72" s="105" t="s">
        <v>167</v>
      </c>
      <c r="BA72" s="146"/>
      <c r="BB72" s="146">
        <f>42975.44+11912.47</f>
        <v>54887.91</v>
      </c>
      <c r="BC72" s="146"/>
      <c r="BD72" s="146"/>
      <c r="BE72" s="146"/>
      <c r="BF72" s="146"/>
      <c r="BG72" s="208"/>
      <c r="BH72" s="91">
        <v>0</v>
      </c>
    </row>
    <row r="73" spans="1:60" s="91" customFormat="1" ht="12.75" hidden="1" customHeight="1" x14ac:dyDescent="0.2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1"/>
      <c r="AY73" s="270"/>
      <c r="AZ73" s="105" t="s">
        <v>168</v>
      </c>
      <c r="BA73" s="146"/>
      <c r="BB73" s="146">
        <f>18360-15000</f>
        <v>3360</v>
      </c>
      <c r="BC73" s="146"/>
      <c r="BD73" s="146"/>
      <c r="BE73" s="146"/>
      <c r="BF73" s="146"/>
      <c r="BG73" s="208"/>
    </row>
    <row r="74" spans="1:60" s="91" customFormat="1" ht="12.75" hidden="1" customHeight="1" x14ac:dyDescent="0.2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1"/>
      <c r="AY74" s="270"/>
      <c r="AZ74" s="105" t="s">
        <v>169</v>
      </c>
      <c r="BA74" s="146"/>
      <c r="BB74" s="146">
        <v>11638</v>
      </c>
      <c r="BC74" s="146"/>
      <c r="BD74" s="146"/>
      <c r="BE74" s="146"/>
      <c r="BF74" s="146"/>
      <c r="BG74" s="208"/>
    </row>
    <row r="75" spans="1:60" s="91" customFormat="1" ht="12.75" hidden="1" customHeight="1" x14ac:dyDescent="0.2">
      <c r="A75" s="156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1"/>
      <c r="AY75" s="270"/>
      <c r="AZ75" s="105" t="s">
        <v>168</v>
      </c>
      <c r="BA75" s="146"/>
      <c r="BB75" s="146"/>
      <c r="BC75" s="146"/>
      <c r="BD75" s="146"/>
      <c r="BE75" s="146"/>
      <c r="BF75" s="146"/>
      <c r="BG75" s="208"/>
    </row>
    <row r="76" spans="1:60" s="91" customFormat="1" ht="12.75" hidden="1" customHeight="1" x14ac:dyDescent="0.2">
      <c r="A76" s="156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1"/>
      <c r="AY76" s="270"/>
      <c r="AZ76" s="105" t="s">
        <v>170</v>
      </c>
      <c r="BA76" s="146"/>
      <c r="BB76" s="146">
        <v>510</v>
      </c>
      <c r="BC76" s="146"/>
      <c r="BD76" s="146"/>
      <c r="BE76" s="146"/>
      <c r="BF76" s="146"/>
      <c r="BG76" s="208"/>
    </row>
    <row r="77" spans="1:60" s="91" customFormat="1" ht="12.75" hidden="1" customHeight="1" x14ac:dyDescent="0.2">
      <c r="A77" s="156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1"/>
      <c r="AY77" s="270"/>
      <c r="AZ77" s="105" t="s">
        <v>169</v>
      </c>
      <c r="BA77" s="146"/>
      <c r="BB77" s="146"/>
      <c r="BC77" s="146"/>
      <c r="BD77" s="146"/>
      <c r="BE77" s="146"/>
      <c r="BF77" s="146"/>
      <c r="BG77" s="208"/>
    </row>
    <row r="78" spans="1:60" s="91" customFormat="1" ht="12.75" hidden="1" customHeight="1" x14ac:dyDescent="0.2">
      <c r="A78" s="209" t="s">
        <v>193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1"/>
      <c r="AY78" s="104"/>
      <c r="AZ78" s="105" t="s">
        <v>170</v>
      </c>
      <c r="BA78" s="146"/>
      <c r="BB78" s="146"/>
      <c r="BC78" s="146">
        <f>13696</f>
        <v>13696</v>
      </c>
      <c r="BD78" s="146"/>
      <c r="BE78" s="146"/>
      <c r="BF78" s="146"/>
      <c r="BG78" s="208"/>
    </row>
    <row r="79" spans="1:60" s="91" customFormat="1" ht="12.75" hidden="1" customHeight="1" x14ac:dyDescent="0.2">
      <c r="A79" s="209" t="s">
        <v>193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1"/>
      <c r="AY79" s="104"/>
      <c r="AZ79" s="105" t="s">
        <v>168</v>
      </c>
      <c r="BA79" s="146"/>
      <c r="BB79" s="146"/>
      <c r="BC79" s="146">
        <f>23684</f>
        <v>23684</v>
      </c>
      <c r="BD79" s="146"/>
      <c r="BE79" s="146"/>
      <c r="BF79" s="146"/>
      <c r="BG79" s="208"/>
    </row>
    <row r="80" spans="1:60" s="91" customFormat="1" ht="12.75" hidden="1" customHeight="1" x14ac:dyDescent="0.2">
      <c r="A80" s="209" t="s">
        <v>173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1"/>
      <c r="AY80" s="104"/>
      <c r="AZ80" s="105" t="s">
        <v>174</v>
      </c>
      <c r="BA80" s="146"/>
      <c r="BB80" s="146"/>
      <c r="BC80" s="146"/>
      <c r="BD80" s="146"/>
      <c r="BE80" s="146"/>
      <c r="BF80" s="146"/>
      <c r="BG80" s="208"/>
    </row>
    <row r="81" spans="1:63" s="91" customFormat="1" ht="12.75" hidden="1" customHeight="1" x14ac:dyDescent="0.2">
      <c r="A81" s="209" t="s">
        <v>202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1"/>
      <c r="AY81" s="104"/>
      <c r="AZ81" s="105" t="s">
        <v>172</v>
      </c>
      <c r="BA81" s="146"/>
      <c r="BB81" s="146"/>
      <c r="BC81" s="146">
        <f>649062.05+52397.66</f>
        <v>701459.71000000008</v>
      </c>
      <c r="BD81" s="146"/>
      <c r="BE81" s="146"/>
      <c r="BF81" s="146"/>
      <c r="BG81" s="208"/>
    </row>
    <row r="82" spans="1:63" s="91" customFormat="1" ht="12.75" hidden="1" customHeight="1" x14ac:dyDescent="0.2">
      <c r="A82" s="209" t="s">
        <v>202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1"/>
      <c r="AY82" s="104"/>
      <c r="AZ82" s="105" t="s">
        <v>166</v>
      </c>
      <c r="BA82" s="146"/>
      <c r="BB82" s="146"/>
      <c r="BC82" s="146">
        <v>0</v>
      </c>
      <c r="BD82" s="146"/>
      <c r="BE82" s="146"/>
      <c r="BF82" s="146"/>
      <c r="BG82" s="208"/>
    </row>
    <row r="83" spans="1:63" s="91" customFormat="1" ht="12.75" hidden="1" customHeight="1" x14ac:dyDescent="0.2">
      <c r="A83" s="209" t="s">
        <v>202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1"/>
      <c r="AY83" s="104"/>
      <c r="AZ83" s="105" t="s">
        <v>167</v>
      </c>
      <c r="BA83" s="146"/>
      <c r="BB83" s="146"/>
      <c r="BC83" s="146">
        <v>518253.24</v>
      </c>
      <c r="BD83" s="146"/>
      <c r="BE83" s="146"/>
      <c r="BF83" s="146"/>
      <c r="BG83" s="208"/>
    </row>
    <row r="84" spans="1:63" s="91" customFormat="1" ht="14.25" hidden="1" customHeight="1" x14ac:dyDescent="0.2">
      <c r="A84" s="209" t="s">
        <v>223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1"/>
      <c r="AY84" s="104"/>
      <c r="AZ84" s="105" t="s">
        <v>168</v>
      </c>
      <c r="BA84" s="146"/>
      <c r="BB84" s="146"/>
      <c r="BC84" s="146">
        <f>100000-10000</f>
        <v>90000</v>
      </c>
      <c r="BD84" s="146"/>
      <c r="BE84" s="146"/>
      <c r="BF84" s="146"/>
      <c r="BG84" s="208"/>
    </row>
    <row r="85" spans="1:63" s="91" customFormat="1" ht="14.25" hidden="1" customHeight="1" x14ac:dyDescent="0.2">
      <c r="A85" s="209" t="s">
        <v>223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1"/>
      <c r="AY85" s="104"/>
      <c r="AZ85" s="105" t="s">
        <v>180</v>
      </c>
      <c r="BA85" s="146"/>
      <c r="BB85" s="146"/>
      <c r="BC85" s="146">
        <v>10000</v>
      </c>
      <c r="BD85" s="146"/>
      <c r="BE85" s="146"/>
      <c r="BF85" s="146"/>
      <c r="BG85" s="208"/>
    </row>
    <row r="86" spans="1:63" s="91" customFormat="1" ht="14.25" hidden="1" customHeight="1" x14ac:dyDescent="0.2">
      <c r="A86" s="209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1"/>
      <c r="AY86" s="104"/>
      <c r="AZ86" s="105" t="s">
        <v>170</v>
      </c>
      <c r="BA86" s="146"/>
      <c r="BB86" s="146"/>
      <c r="BC86" s="146"/>
      <c r="BD86" s="146"/>
      <c r="BE86" s="146"/>
      <c r="BF86" s="146"/>
      <c r="BG86" s="208"/>
    </row>
    <row r="87" spans="1:63" s="91" customFormat="1" ht="14.25" hidden="1" customHeight="1" x14ac:dyDescent="0.2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1"/>
      <c r="AY87" s="104"/>
      <c r="AZ87" s="105" t="s">
        <v>169</v>
      </c>
      <c r="BA87" s="146"/>
      <c r="BB87" s="146"/>
      <c r="BC87" s="146"/>
      <c r="BD87" s="146"/>
      <c r="BE87" s="146"/>
      <c r="BF87" s="146"/>
      <c r="BG87" s="208"/>
      <c r="BH87" s="92" t="s">
        <v>181</v>
      </c>
      <c r="BI87" s="93" t="s">
        <v>182</v>
      </c>
      <c r="BJ87" s="93" t="s">
        <v>183</v>
      </c>
      <c r="BK87" s="93" t="s">
        <v>146</v>
      </c>
    </row>
    <row r="88" spans="1:63" s="91" customFormat="1" ht="14.25" hidden="1" customHeight="1" x14ac:dyDescent="0.2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7"/>
      <c r="AY88" s="104">
        <v>2001</v>
      </c>
      <c r="AZ88" s="105" t="s">
        <v>163</v>
      </c>
      <c r="BA88" s="146"/>
      <c r="BB88" s="146"/>
      <c r="BC88" s="146"/>
      <c r="BD88" s="146"/>
      <c r="BE88" s="146">
        <f>24000+3380.4-3300+462.22+19134.08-20895.9+1761.82</f>
        <v>24542.620000000003</v>
      </c>
      <c r="BF88" s="146"/>
      <c r="BG88" s="208"/>
      <c r="BH88" s="92">
        <v>221</v>
      </c>
      <c r="BI88" s="94">
        <f>BE88+BE104</f>
        <v>50854.14</v>
      </c>
      <c r="BJ88" s="94">
        <f>BB59+BB68</f>
        <v>47885.64</v>
      </c>
      <c r="BK88" s="94">
        <f>BI88+BJ88</f>
        <v>98739.78</v>
      </c>
    </row>
    <row r="89" spans="1:63" s="91" customFormat="1" ht="14.25" hidden="1" customHeight="1" x14ac:dyDescent="0.2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7" t="s">
        <v>177</v>
      </c>
      <c r="AY89" s="104">
        <v>2001</v>
      </c>
      <c r="AZ89" s="105" t="s">
        <v>172</v>
      </c>
      <c r="BA89" s="146"/>
      <c r="BB89" s="146"/>
      <c r="BC89" s="146"/>
      <c r="BD89" s="146"/>
      <c r="BE89" s="146">
        <f>13000+28.46+4200</f>
        <v>17228.46</v>
      </c>
      <c r="BF89" s="146"/>
      <c r="BG89" s="208"/>
      <c r="BH89" s="92">
        <v>222</v>
      </c>
      <c r="BI89" s="94">
        <f>0</f>
        <v>0</v>
      </c>
      <c r="BJ89" s="94">
        <f>BC80</f>
        <v>0</v>
      </c>
      <c r="BK89" s="94">
        <f t="shared" ref="BK89:BK95" si="6">BI89+BJ89</f>
        <v>0</v>
      </c>
    </row>
    <row r="90" spans="1:63" s="91" customFormat="1" ht="14.25" hidden="1" customHeight="1" x14ac:dyDescent="0.2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7" t="s">
        <v>178</v>
      </c>
      <c r="AY90" s="104">
        <v>2001</v>
      </c>
      <c r="AZ90" s="105" t="s">
        <v>172</v>
      </c>
      <c r="BA90" s="146"/>
      <c r="BB90" s="146"/>
      <c r="BC90" s="146"/>
      <c r="BD90" s="146"/>
      <c r="BE90" s="146">
        <f>20000+244.24-1150</f>
        <v>19094.240000000002</v>
      </c>
      <c r="BF90" s="146"/>
      <c r="BG90" s="208"/>
      <c r="BH90" s="92">
        <v>223</v>
      </c>
      <c r="BI90" s="94">
        <f>BE89+BE90+BE91+BE101+BE102+BE103</f>
        <v>206908.25</v>
      </c>
      <c r="BJ90" s="94">
        <f>BB60+BB61+BB62+BB69+BB70+BB71+BC81+BC82</f>
        <v>2802918.54</v>
      </c>
      <c r="BK90" s="94">
        <f t="shared" si="6"/>
        <v>3009826.79</v>
      </c>
    </row>
    <row r="91" spans="1:63" s="91" customFormat="1" ht="14.25" hidden="1" customHeight="1" x14ac:dyDescent="0.2">
      <c r="A91" s="165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7" t="s">
        <v>179</v>
      </c>
      <c r="AY91" s="104">
        <v>2001</v>
      </c>
      <c r="AZ91" s="105" t="s">
        <v>172</v>
      </c>
      <c r="BA91" s="146"/>
      <c r="BB91" s="146"/>
      <c r="BC91" s="146"/>
      <c r="BD91" s="146"/>
      <c r="BE91" s="146">
        <f>2000+0.02</f>
        <v>2000.02</v>
      </c>
      <c r="BF91" s="146"/>
      <c r="BG91" s="208"/>
      <c r="BH91" s="92">
        <v>225</v>
      </c>
      <c r="BI91" s="94">
        <f>BE92+BE105+BE96</f>
        <v>153528.53</v>
      </c>
      <c r="BJ91" s="94">
        <f>BB63+BB72+BC83</f>
        <v>888616.29</v>
      </c>
      <c r="BK91" s="94">
        <f t="shared" si="6"/>
        <v>1042144.8200000001</v>
      </c>
    </row>
    <row r="92" spans="1:63" s="91" customFormat="1" ht="14.25" hidden="1" customHeight="1" x14ac:dyDescent="0.2">
      <c r="A92" s="165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7"/>
      <c r="AY92" s="104">
        <v>2001</v>
      </c>
      <c r="AZ92" s="105" t="s">
        <v>167</v>
      </c>
      <c r="BA92" s="146"/>
      <c r="BB92" s="146"/>
      <c r="BC92" s="146"/>
      <c r="BD92" s="146"/>
      <c r="BE92" s="146">
        <f>45000-13031.84+48810.37+7714-7714</f>
        <v>80778.53</v>
      </c>
      <c r="BF92" s="146"/>
      <c r="BG92" s="208"/>
      <c r="BH92" s="92">
        <v>226</v>
      </c>
      <c r="BI92" s="94">
        <f>BE93+BE106</f>
        <v>81667.08</v>
      </c>
      <c r="BJ92" s="94">
        <f>BB64+BB66+BB75+BC79+BB73+BC84</f>
        <v>368113.02</v>
      </c>
      <c r="BK92" s="94">
        <f t="shared" si="6"/>
        <v>449780.10000000003</v>
      </c>
    </row>
    <row r="93" spans="1:63" s="91" customFormat="1" ht="14.25" hidden="1" customHeight="1" x14ac:dyDescent="0.2">
      <c r="A93" s="165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7"/>
      <c r="AY93" s="104">
        <v>2001</v>
      </c>
      <c r="AZ93" s="105" t="s">
        <v>168</v>
      </c>
      <c r="BA93" s="146"/>
      <c r="BB93" s="146"/>
      <c r="BC93" s="146"/>
      <c r="BD93" s="146"/>
      <c r="BE93" s="146">
        <f>60000-30380.3+28026.6-4770-10291.68</f>
        <v>42584.62</v>
      </c>
      <c r="BF93" s="146"/>
      <c r="BG93" s="208"/>
      <c r="BH93" s="92">
        <v>290</v>
      </c>
      <c r="BI93" s="94">
        <f>BE97+BE98</f>
        <v>54770</v>
      </c>
      <c r="BJ93" s="94">
        <f>BB67+BB76+BC78</f>
        <v>14206</v>
      </c>
      <c r="BK93" s="94">
        <f t="shared" si="6"/>
        <v>68976</v>
      </c>
    </row>
    <row r="94" spans="1:63" s="91" customFormat="1" ht="14.25" hidden="1" customHeight="1" x14ac:dyDescent="0.2">
      <c r="A94" s="165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7"/>
      <c r="AY94" s="104">
        <v>2001</v>
      </c>
      <c r="AZ94" s="105" t="s">
        <v>180</v>
      </c>
      <c r="BA94" s="146"/>
      <c r="BB94" s="146"/>
      <c r="BC94" s="146"/>
      <c r="BD94" s="146"/>
      <c r="BE94" s="146">
        <f>30000+76771.3+8150+46241.9-2400-29850.76</f>
        <v>128912.44000000002</v>
      </c>
      <c r="BF94" s="146"/>
      <c r="BG94" s="208"/>
      <c r="BH94" s="92">
        <v>310</v>
      </c>
      <c r="BI94" s="94">
        <f>BE94+BE99+BE107</f>
        <v>520362.44</v>
      </c>
      <c r="BJ94" s="94">
        <f>BC85</f>
        <v>10000</v>
      </c>
      <c r="BK94" s="94">
        <f t="shared" si="6"/>
        <v>530362.43999999994</v>
      </c>
    </row>
    <row r="95" spans="1:63" s="91" customFormat="1" ht="14.25" hidden="1" customHeight="1" x14ac:dyDescent="0.2">
      <c r="A95" s="165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7"/>
      <c r="AY95" s="104">
        <v>2001</v>
      </c>
      <c r="AZ95" s="105" t="s">
        <v>169</v>
      </c>
      <c r="BA95" s="146"/>
      <c r="BB95" s="146"/>
      <c r="BC95" s="146"/>
      <c r="BD95" s="146"/>
      <c r="BE95" s="146">
        <f>73000+8991-30059.16-8150+40000-6.34</f>
        <v>83775.5</v>
      </c>
      <c r="BF95" s="146"/>
      <c r="BG95" s="208"/>
      <c r="BH95" s="92">
        <v>340</v>
      </c>
      <c r="BI95" s="94">
        <f>BE95+BE100+BE108+BE109</f>
        <v>112629.34</v>
      </c>
      <c r="BJ95" s="94">
        <f>BB77+BB65+BB74</f>
        <v>202443.84</v>
      </c>
      <c r="BK95" s="94">
        <f t="shared" si="6"/>
        <v>315073.18</v>
      </c>
    </row>
    <row r="96" spans="1:63" s="91" customFormat="1" ht="14.25" hidden="1" customHeight="1" x14ac:dyDescent="0.2">
      <c r="A96" s="165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7"/>
      <c r="AY96" s="104">
        <v>2006</v>
      </c>
      <c r="AZ96" s="105" t="s">
        <v>167</v>
      </c>
      <c r="BA96" s="146"/>
      <c r="BB96" s="146"/>
      <c r="BC96" s="146"/>
      <c r="BD96" s="146"/>
      <c r="BE96" s="146">
        <f>60000</f>
        <v>60000</v>
      </c>
      <c r="BF96" s="146"/>
      <c r="BG96" s="208"/>
      <c r="BH96" s="92" t="s">
        <v>146</v>
      </c>
      <c r="BI96" s="94">
        <f>SUM(BI88:BI95)</f>
        <v>1180719.78</v>
      </c>
      <c r="BJ96" s="94">
        <f>SUM(BJ88:BJ95)</f>
        <v>4334183.33</v>
      </c>
      <c r="BK96" s="94">
        <f t="shared" ref="BK96" si="7">SUM(BK88:BK95)</f>
        <v>5514903.1099999994</v>
      </c>
    </row>
    <row r="97" spans="1:64" s="91" customFormat="1" ht="14.25" hidden="1" customHeight="1" x14ac:dyDescent="0.2">
      <c r="A97" s="165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7"/>
      <c r="AY97" s="104">
        <v>2001</v>
      </c>
      <c r="AZ97" s="105" t="s">
        <v>245</v>
      </c>
      <c r="BA97" s="146"/>
      <c r="BB97" s="146"/>
      <c r="BC97" s="146"/>
      <c r="BD97" s="146"/>
      <c r="BE97" s="146">
        <v>4770</v>
      </c>
      <c r="BF97" s="146"/>
      <c r="BG97" s="208"/>
      <c r="BH97" s="92"/>
      <c r="BI97" s="96">
        <f>BE58-BI96</f>
        <v>0</v>
      </c>
      <c r="BJ97" s="96">
        <f>(BB58+BC58)-BJ96</f>
        <v>0</v>
      </c>
      <c r="BK97" s="95">
        <f>BA58-BK96</f>
        <v>0</v>
      </c>
    </row>
    <row r="98" spans="1:64" s="91" customFormat="1" ht="14.25" hidden="1" customHeight="1" x14ac:dyDescent="0.2">
      <c r="A98" s="165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7"/>
      <c r="AY98" s="104">
        <v>2010</v>
      </c>
      <c r="AZ98" s="105" t="s">
        <v>245</v>
      </c>
      <c r="BA98" s="146"/>
      <c r="BB98" s="146"/>
      <c r="BC98" s="146"/>
      <c r="BD98" s="146"/>
      <c r="BE98" s="146">
        <f>45000+5000</f>
        <v>50000</v>
      </c>
      <c r="BF98" s="146"/>
      <c r="BG98" s="208"/>
    </row>
    <row r="99" spans="1:64" s="91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/>
      <c r="AY99" s="104">
        <v>2010</v>
      </c>
      <c r="AZ99" s="105" t="s">
        <v>180</v>
      </c>
      <c r="BA99" s="146"/>
      <c r="BB99" s="146"/>
      <c r="BC99" s="146"/>
      <c r="BD99" s="146"/>
      <c r="BE99" s="146">
        <f>341000+30450-5000</f>
        <v>366450</v>
      </c>
      <c r="BF99" s="146"/>
      <c r="BG99" s="208"/>
      <c r="BH99" s="92" t="s">
        <v>184</v>
      </c>
      <c r="BI99" s="92" t="s">
        <v>182</v>
      </c>
      <c r="BJ99" s="92" t="s">
        <v>243</v>
      </c>
      <c r="BK99" s="97" t="s">
        <v>242</v>
      </c>
    </row>
    <row r="100" spans="1:64" s="91" customFormat="1" ht="14.25" hidden="1" customHeight="1" x14ac:dyDescent="0.2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7"/>
      <c r="AY100" s="104">
        <v>2010</v>
      </c>
      <c r="AZ100" s="105" t="s">
        <v>169</v>
      </c>
      <c r="BA100" s="146"/>
      <c r="BB100" s="146"/>
      <c r="BC100" s="146"/>
      <c r="BD100" s="146"/>
      <c r="BE100" s="146">
        <f>30000-30000</f>
        <v>0</v>
      </c>
      <c r="BF100" s="146"/>
      <c r="BG100" s="208"/>
      <c r="BH100" s="92" t="s">
        <v>177</v>
      </c>
      <c r="BI100" s="98">
        <f>BE89+BE101</f>
        <v>145903.46</v>
      </c>
      <c r="BJ100" s="98">
        <f>BB60+BB69+BC81</f>
        <v>1824045.0300000003</v>
      </c>
      <c r="BK100" s="98">
        <f>BJ100-BI118</f>
        <v>1824045.0300000003</v>
      </c>
      <c r="BL100" s="140">
        <f>BI100+BJ100</f>
        <v>1969948.4900000002</v>
      </c>
    </row>
    <row r="101" spans="1:64" s="91" customFormat="1" ht="14.25" hidden="1" customHeight="1" x14ac:dyDescent="0.2">
      <c r="A101" s="165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7" t="s">
        <v>177</v>
      </c>
      <c r="AY101" s="104">
        <v>2011</v>
      </c>
      <c r="AZ101" s="105" t="s">
        <v>172</v>
      </c>
      <c r="BA101" s="146"/>
      <c r="BB101" s="146"/>
      <c r="BC101" s="146"/>
      <c r="BD101" s="146"/>
      <c r="BE101" s="146">
        <f>60000+68127.84+547.16</f>
        <v>128675</v>
      </c>
      <c r="BF101" s="146"/>
      <c r="BG101" s="208"/>
      <c r="BH101" s="92" t="s">
        <v>178</v>
      </c>
      <c r="BI101" s="98">
        <f>BE90+BE102</f>
        <v>52964.240000000005</v>
      </c>
      <c r="BJ101" s="98">
        <f>BB61+BB70</f>
        <v>932032</v>
      </c>
      <c r="BK101" s="98">
        <f>BJ101-BI119</f>
        <v>932032</v>
      </c>
      <c r="BL101" s="140">
        <f t="shared" ref="BL101:BL103" si="8">BI101+BJ101</f>
        <v>984996.24</v>
      </c>
    </row>
    <row r="102" spans="1:64" s="91" customFormat="1" ht="14.25" hidden="1" customHeight="1" x14ac:dyDescent="0.2">
      <c r="A102" s="165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7" t="s">
        <v>178</v>
      </c>
      <c r="AY102" s="104">
        <v>2011</v>
      </c>
      <c r="AZ102" s="105" t="s">
        <v>172</v>
      </c>
      <c r="BA102" s="146"/>
      <c r="BB102" s="146"/>
      <c r="BC102" s="146"/>
      <c r="BD102" s="146"/>
      <c r="BE102" s="146">
        <f>34000-130</f>
        <v>33870</v>
      </c>
      <c r="BF102" s="146"/>
      <c r="BG102" s="208"/>
      <c r="BH102" s="92" t="s">
        <v>179</v>
      </c>
      <c r="BI102" s="98">
        <f>BE91+BE103</f>
        <v>8040.5499999999993</v>
      </c>
      <c r="BJ102" s="98">
        <f>BB62+BB71+BC82</f>
        <v>46841.51</v>
      </c>
      <c r="BK102" s="98">
        <f>BJ102-BI120</f>
        <v>46841.51</v>
      </c>
      <c r="BL102" s="140">
        <f t="shared" si="8"/>
        <v>54882.06</v>
      </c>
    </row>
    <row r="103" spans="1:64" s="91" customFormat="1" ht="14.25" hidden="1" customHeight="1" x14ac:dyDescent="0.2">
      <c r="A103" s="165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7" t="s">
        <v>179</v>
      </c>
      <c r="AY103" s="104">
        <v>2011</v>
      </c>
      <c r="AZ103" s="105" t="s">
        <v>172</v>
      </c>
      <c r="BA103" s="146"/>
      <c r="BB103" s="146"/>
      <c r="BC103" s="146"/>
      <c r="BD103" s="146"/>
      <c r="BE103" s="146">
        <f>6000+97.69-57.16</f>
        <v>6040.53</v>
      </c>
      <c r="BF103" s="146"/>
      <c r="BG103" s="208"/>
      <c r="BH103" s="92"/>
      <c r="BI103" s="98">
        <f>SUM(BI100:BI102)</f>
        <v>206908.25</v>
      </c>
      <c r="BJ103" s="98">
        <f>SUM(BJ100:BJ102)</f>
        <v>2802918.54</v>
      </c>
      <c r="BK103" s="98">
        <f>SUM(BK100:BK102)</f>
        <v>2802918.54</v>
      </c>
      <c r="BL103" s="140">
        <f t="shared" si="8"/>
        <v>3009826.79</v>
      </c>
    </row>
    <row r="104" spans="1:64" s="91" customFormat="1" ht="14.25" hidden="1" customHeight="1" x14ac:dyDescent="0.2">
      <c r="A104" s="209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1"/>
      <c r="AY104" s="104">
        <v>2019</v>
      </c>
      <c r="AZ104" s="105" t="s">
        <v>163</v>
      </c>
      <c r="BA104" s="146"/>
      <c r="BB104" s="146"/>
      <c r="BC104" s="146"/>
      <c r="BD104" s="146"/>
      <c r="BE104" s="146">
        <f>10000+16472.32-160.8</f>
        <v>26311.52</v>
      </c>
      <c r="BF104" s="146"/>
      <c r="BG104" s="208"/>
      <c r="BH104" s="92"/>
      <c r="BI104" s="212">
        <f>BI103+BJ103</f>
        <v>3009826.79</v>
      </c>
      <c r="BJ104" s="213"/>
      <c r="BK104" s="140">
        <f>BK90-BI104</f>
        <v>0</v>
      </c>
    </row>
    <row r="105" spans="1:64" s="91" customFormat="1" ht="14.25" hidden="1" customHeight="1" x14ac:dyDescent="0.2">
      <c r="A105" s="209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1"/>
      <c r="AY105" s="104">
        <v>2019</v>
      </c>
      <c r="AZ105" s="105" t="s">
        <v>167</v>
      </c>
      <c r="BA105" s="146"/>
      <c r="BB105" s="146"/>
      <c r="BC105" s="146"/>
      <c r="BD105" s="146"/>
      <c r="BE105" s="146">
        <f>20000+40-7250-40</f>
        <v>12750</v>
      </c>
      <c r="BF105" s="146"/>
      <c r="BG105" s="208"/>
    </row>
    <row r="106" spans="1:64" s="91" customFormat="1" ht="14.25" hidden="1" customHeight="1" x14ac:dyDescent="0.2">
      <c r="A106" s="209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1"/>
      <c r="AY106" s="104">
        <v>2019</v>
      </c>
      <c r="AZ106" s="105" t="s">
        <v>168</v>
      </c>
      <c r="BA106" s="146"/>
      <c r="BB106" s="146"/>
      <c r="BC106" s="146"/>
      <c r="BD106" s="146"/>
      <c r="BE106" s="146">
        <f>99000+1109.7-40822.32-11764.92-8440</f>
        <v>39082.46</v>
      </c>
      <c r="BF106" s="146"/>
      <c r="BG106" s="208"/>
    </row>
    <row r="107" spans="1:64" s="91" customFormat="1" ht="14.25" hidden="1" customHeight="1" x14ac:dyDescent="0.2">
      <c r="A107" s="165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7"/>
      <c r="AY107" s="104">
        <f>2019</f>
        <v>2019</v>
      </c>
      <c r="AZ107" s="105" t="s">
        <v>180</v>
      </c>
      <c r="BA107" s="146"/>
      <c r="BB107" s="146"/>
      <c r="BC107" s="146"/>
      <c r="BD107" s="146"/>
      <c r="BE107" s="146">
        <f>20000-20000+25000</f>
        <v>25000</v>
      </c>
      <c r="BF107" s="146"/>
      <c r="BG107" s="208"/>
      <c r="BH107" s="99" t="s">
        <v>218</v>
      </c>
      <c r="BI107" s="99"/>
      <c r="BJ107" s="99"/>
    </row>
    <row r="108" spans="1:64" s="91" customFormat="1" ht="14.25" hidden="1" customHeight="1" x14ac:dyDescent="0.2">
      <c r="A108" s="209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1"/>
      <c r="AY108" s="104">
        <v>2019</v>
      </c>
      <c r="AZ108" s="105" t="s">
        <v>169</v>
      </c>
      <c r="BA108" s="146"/>
      <c r="BB108" s="146"/>
      <c r="BC108" s="146"/>
      <c r="BD108" s="146"/>
      <c r="BE108" s="146">
        <f>13000+582.12+51600-5680.8-14288.28-16359.2</f>
        <v>28853.84</v>
      </c>
      <c r="BF108" s="146"/>
      <c r="BG108" s="208"/>
      <c r="BH108" s="100">
        <v>2001</v>
      </c>
      <c r="BI108" s="101">
        <v>62473.8</v>
      </c>
      <c r="BJ108" s="214">
        <f>BI108+BI109+BI110+BI111+BI112+BI113+BI114</f>
        <v>748946.67</v>
      </c>
    </row>
    <row r="109" spans="1:64" s="91" customFormat="1" ht="21.75" hidden="1" customHeight="1" x14ac:dyDescent="0.2">
      <c r="A109" s="209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1"/>
      <c r="AY109" s="104">
        <f>2032</f>
        <v>2032</v>
      </c>
      <c r="AZ109" s="105" t="s">
        <v>169</v>
      </c>
      <c r="BA109" s="146"/>
      <c r="BB109" s="146"/>
      <c r="BC109" s="146"/>
      <c r="BD109" s="146"/>
      <c r="BE109" s="146">
        <v>0</v>
      </c>
      <c r="BF109" s="146"/>
      <c r="BG109" s="208"/>
      <c r="BH109" s="100">
        <v>2010</v>
      </c>
      <c r="BI109" s="101"/>
      <c r="BJ109" s="215"/>
    </row>
    <row r="110" spans="1:64" ht="12.75" x14ac:dyDescent="0.2">
      <c r="A110" s="6"/>
      <c r="B110" s="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8"/>
      <c r="AY110" s="8"/>
      <c r="AZ110" s="72"/>
      <c r="BA110" s="144"/>
      <c r="BB110" s="145"/>
      <c r="BC110" s="145"/>
      <c r="BD110" s="145"/>
      <c r="BE110" s="145"/>
      <c r="BF110" s="145"/>
      <c r="BH110" s="100">
        <v>2011</v>
      </c>
      <c r="BI110" s="101">
        <v>68225.53</v>
      </c>
      <c r="BJ110" s="215"/>
    </row>
    <row r="111" spans="1:64" ht="12.75" x14ac:dyDescent="0.2">
      <c r="A111" s="153"/>
      <c r="B111" s="171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8"/>
      <c r="AY111" s="8"/>
      <c r="AZ111" s="72"/>
      <c r="BA111" s="144"/>
      <c r="BB111" s="145"/>
      <c r="BC111" s="145"/>
      <c r="BD111" s="145"/>
      <c r="BE111" s="145"/>
      <c r="BF111" s="145"/>
      <c r="BH111" s="100">
        <v>2019</v>
      </c>
      <c r="BI111" s="101">
        <v>1731.82</v>
      </c>
      <c r="BJ111" s="215"/>
    </row>
    <row r="112" spans="1:64" ht="12.75" x14ac:dyDescent="0.2">
      <c r="A112" s="5"/>
      <c r="B112" s="217" t="s">
        <v>46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8"/>
      <c r="AY112" s="8">
        <v>300</v>
      </c>
      <c r="AZ112" s="72" t="s">
        <v>28</v>
      </c>
      <c r="BA112" s="144">
        <f t="shared" ref="BA112:BA117" si="9">BB112+BC112+BD112+BF112</f>
        <v>0</v>
      </c>
      <c r="BB112" s="145"/>
      <c r="BC112" s="145"/>
      <c r="BD112" s="145"/>
      <c r="BE112" s="145"/>
      <c r="BF112" s="145"/>
      <c r="BH112" s="100">
        <f>2026</f>
        <v>2026</v>
      </c>
      <c r="BI112" s="101">
        <v>411</v>
      </c>
      <c r="BJ112" s="216"/>
    </row>
    <row r="113" spans="1:62" ht="12.75" customHeight="1" x14ac:dyDescent="0.2">
      <c r="A113" s="6"/>
      <c r="B113" s="7"/>
      <c r="C113" s="217" t="s">
        <v>47</v>
      </c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8"/>
      <c r="AY113" s="8">
        <v>310</v>
      </c>
      <c r="AZ113" s="72"/>
      <c r="BA113" s="144">
        <f t="shared" si="9"/>
        <v>0</v>
      </c>
      <c r="BB113" s="145"/>
      <c r="BC113" s="145"/>
      <c r="BD113" s="145"/>
      <c r="BE113" s="145"/>
      <c r="BF113" s="145"/>
      <c r="BH113" s="100">
        <v>2021</v>
      </c>
      <c r="BI113" s="101"/>
      <c r="BJ113" s="107"/>
    </row>
    <row r="114" spans="1:62" ht="12.75" customHeight="1" x14ac:dyDescent="0.2">
      <c r="A114" s="153"/>
      <c r="B114" s="171"/>
      <c r="C114" s="217" t="s">
        <v>48</v>
      </c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8"/>
      <c r="AY114" s="8">
        <v>320</v>
      </c>
      <c r="AZ114" s="72"/>
      <c r="BA114" s="144">
        <f t="shared" si="9"/>
        <v>0</v>
      </c>
      <c r="BB114" s="145"/>
      <c r="BC114" s="145"/>
      <c r="BD114" s="145"/>
      <c r="BE114" s="145"/>
      <c r="BF114" s="145"/>
      <c r="BH114" s="100">
        <v>4000</v>
      </c>
      <c r="BI114" s="101">
        <f>616104.52</f>
        <v>616104.52</v>
      </c>
      <c r="BJ114" s="107"/>
    </row>
    <row r="115" spans="1:62" ht="12.75" customHeight="1" x14ac:dyDescent="0.2">
      <c r="A115" s="153"/>
      <c r="B115" s="171"/>
      <c r="C115" s="217" t="s">
        <v>49</v>
      </c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8"/>
      <c r="AY115" s="8">
        <v>400</v>
      </c>
      <c r="AZ115" s="72"/>
      <c r="BA115" s="144">
        <f t="shared" si="9"/>
        <v>0</v>
      </c>
      <c r="BB115" s="145"/>
      <c r="BC115" s="145"/>
      <c r="BD115" s="145"/>
      <c r="BE115" s="145"/>
      <c r="BF115" s="145"/>
      <c r="BH115" s="129"/>
      <c r="BI115" s="129"/>
      <c r="BJ115" s="129"/>
    </row>
    <row r="116" spans="1:62" ht="12.75" customHeight="1" x14ac:dyDescent="0.2">
      <c r="A116" s="153"/>
      <c r="B116" s="171"/>
      <c r="C116" s="217" t="s">
        <v>50</v>
      </c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8"/>
      <c r="AY116" s="8">
        <v>410</v>
      </c>
      <c r="AZ116" s="72"/>
      <c r="BA116" s="144">
        <f t="shared" si="9"/>
        <v>0</v>
      </c>
      <c r="BB116" s="145"/>
      <c r="BC116" s="145"/>
      <c r="BD116" s="145"/>
      <c r="BE116" s="145"/>
      <c r="BF116" s="145"/>
      <c r="BH116" s="129"/>
      <c r="BI116" s="129"/>
      <c r="BJ116" s="129"/>
    </row>
    <row r="117" spans="1:62" ht="12.75" customHeight="1" x14ac:dyDescent="0.2">
      <c r="A117" s="153"/>
      <c r="B117" s="171"/>
      <c r="C117" s="217" t="s">
        <v>51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8"/>
      <c r="AY117" s="8">
        <v>420</v>
      </c>
      <c r="AZ117" s="72"/>
      <c r="BA117" s="144">
        <f t="shared" si="9"/>
        <v>0</v>
      </c>
      <c r="BB117" s="145"/>
      <c r="BC117" s="145"/>
      <c r="BD117" s="145"/>
      <c r="BE117" s="145"/>
      <c r="BF117" s="145"/>
      <c r="BH117" s="126"/>
      <c r="BI117" s="127"/>
      <c r="BJ117" s="129"/>
    </row>
    <row r="118" spans="1:62" ht="12.75" customHeight="1" x14ac:dyDescent="0.2">
      <c r="A118" s="153"/>
      <c r="B118" s="219" t="s">
        <v>22</v>
      </c>
      <c r="C118" s="220" t="s">
        <v>11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1"/>
      <c r="AY118" s="12" t="s">
        <v>23</v>
      </c>
      <c r="AZ118" s="72" t="s">
        <v>28</v>
      </c>
      <c r="BA118" s="144">
        <f>BB118+BC118+BD118+BE118</f>
        <v>748946.67</v>
      </c>
      <c r="BB118" s="148">
        <f>488717.38+127387.14</f>
        <v>616104.52</v>
      </c>
      <c r="BC118" s="148">
        <v>0</v>
      </c>
      <c r="BD118" s="148">
        <v>0</v>
      </c>
      <c r="BE118" s="148">
        <f>132842.15</f>
        <v>132842.15</v>
      </c>
      <c r="BF118" s="148">
        <v>0</v>
      </c>
      <c r="BH118" s="126"/>
      <c r="BI118" s="128"/>
      <c r="BJ118" s="129"/>
    </row>
    <row r="119" spans="1:62" ht="12.75" customHeight="1" x14ac:dyDescent="0.2">
      <c r="A119" s="153"/>
      <c r="B119" s="204" t="s">
        <v>24</v>
      </c>
      <c r="C119" s="205" t="s">
        <v>11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169" t="s">
        <v>25</v>
      </c>
      <c r="AZ119" s="72" t="s">
        <v>28</v>
      </c>
      <c r="BA119" s="144">
        <f>BB119+BC119+BD119+BF119</f>
        <v>0</v>
      </c>
      <c r="BB119" s="145"/>
      <c r="BC119" s="145"/>
      <c r="BD119" s="145"/>
      <c r="BE119" s="145"/>
      <c r="BF119" s="145"/>
      <c r="BH119" s="126"/>
      <c r="BI119" s="128"/>
    </row>
    <row r="120" spans="1:62" ht="12.75" x14ac:dyDescent="0.2">
      <c r="A120" s="111"/>
      <c r="B120" s="11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5"/>
      <c r="AZ120" s="116"/>
      <c r="BA120" s="117"/>
      <c r="BB120" s="113"/>
      <c r="BC120" s="113"/>
      <c r="BD120" s="113"/>
      <c r="BE120" s="113"/>
      <c r="BF120" s="113"/>
      <c r="BH120" s="126"/>
      <c r="BI120" s="128"/>
    </row>
    <row r="121" spans="1:62" ht="12.75" x14ac:dyDescent="0.2">
      <c r="A121" s="111"/>
      <c r="B121" s="112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5"/>
      <c r="AZ121" s="116"/>
      <c r="BA121" s="117"/>
      <c r="BB121" s="113"/>
      <c r="BC121" s="113"/>
      <c r="BD121" s="113"/>
      <c r="BE121" s="113"/>
      <c r="BF121" s="113"/>
      <c r="BH121" s="126"/>
      <c r="BI121" s="128"/>
    </row>
    <row r="122" spans="1:62" ht="12.75" customHeight="1" x14ac:dyDescent="0.2">
      <c r="A122" s="206" t="s">
        <v>57</v>
      </c>
      <c r="B122" s="206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BA122" s="108">
        <f t="shared" ref="BA122:BF122" si="10">BA30-BA9-BA118</f>
        <v>1.7462298274040222E-9</v>
      </c>
      <c r="BB122" s="108">
        <f t="shared" si="10"/>
        <v>0</v>
      </c>
      <c r="BC122" s="108">
        <f t="shared" si="10"/>
        <v>2.3283064365386963E-10</v>
      </c>
      <c r="BD122" s="108">
        <f t="shared" si="10"/>
        <v>0</v>
      </c>
      <c r="BE122" s="108">
        <f t="shared" si="10"/>
        <v>0</v>
      </c>
      <c r="BF122" s="108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0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A85:AX85"/>
    <mergeCell ref="A86:AX86"/>
    <mergeCell ref="A53:AX53"/>
    <mergeCell ref="BG54:BK54"/>
    <mergeCell ref="C57:AX57"/>
    <mergeCell ref="B58:AX58"/>
    <mergeCell ref="AY59:AY67"/>
    <mergeCell ref="A65:AX65"/>
    <mergeCell ref="A66:AX67"/>
    <mergeCell ref="AY68:AY77"/>
    <mergeCell ref="A71:AX71"/>
    <mergeCell ref="A62:AX62"/>
    <mergeCell ref="C54:AX54"/>
    <mergeCell ref="C55:AX55"/>
    <mergeCell ref="C56:AX56"/>
    <mergeCell ref="A59:AX59"/>
    <mergeCell ref="A68:AX68"/>
    <mergeCell ref="A79:AX79"/>
    <mergeCell ref="A61:AX61"/>
    <mergeCell ref="A70:AX70"/>
    <mergeCell ref="A80:AX80"/>
    <mergeCell ref="A64:AX64"/>
    <mergeCell ref="A81:AX81"/>
    <mergeCell ref="A82:AX82"/>
    <mergeCell ref="A83:AX83"/>
    <mergeCell ref="A84:AX84"/>
    <mergeCell ref="B9:AX9"/>
    <mergeCell ref="B10:AX10"/>
    <mergeCell ref="B11:AX11"/>
    <mergeCell ref="B12:AX12"/>
    <mergeCell ref="B20:AX20"/>
    <mergeCell ref="A23:AX23"/>
    <mergeCell ref="B29:AX29"/>
    <mergeCell ref="C34:AX34"/>
    <mergeCell ref="C40:AX40"/>
    <mergeCell ref="B31:AX31"/>
    <mergeCell ref="B30:AX30"/>
    <mergeCell ref="B18:AX18"/>
    <mergeCell ref="B19:AX19"/>
    <mergeCell ref="A21:AX21"/>
    <mergeCell ref="A22:AX22"/>
    <mergeCell ref="A26:AX26"/>
    <mergeCell ref="B28:AX28"/>
    <mergeCell ref="A13:AX13"/>
    <mergeCell ref="A14:AX14"/>
    <mergeCell ref="A15:AX15"/>
    <mergeCell ref="A16:AX16"/>
    <mergeCell ref="B25:AX25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6"/>
    <mergeCell ref="C45:AX45"/>
    <mergeCell ref="A52:AX52"/>
    <mergeCell ref="A17:AX17"/>
    <mergeCell ref="C33:AX33"/>
    <mergeCell ref="B37:AX37"/>
    <mergeCell ref="C39:AX39"/>
    <mergeCell ref="C44:AX44"/>
    <mergeCell ref="C35:AX35"/>
    <mergeCell ref="C41:AX41"/>
    <mergeCell ref="C46:AX46"/>
    <mergeCell ref="A51:AX51"/>
    <mergeCell ref="A24:AX24"/>
    <mergeCell ref="C36:AX36"/>
    <mergeCell ref="B38:AX38"/>
    <mergeCell ref="C42:AX42"/>
    <mergeCell ref="B43:AX43"/>
    <mergeCell ref="C47:AX47"/>
    <mergeCell ref="A48:AX48"/>
    <mergeCell ref="B49:AX49"/>
    <mergeCell ref="C50:AX50"/>
    <mergeCell ref="A27:AX27"/>
    <mergeCell ref="B32:AX32"/>
    <mergeCell ref="B119:AX119"/>
    <mergeCell ref="A122:AX122"/>
    <mergeCell ref="BG59:BG109"/>
    <mergeCell ref="A87:AX87"/>
    <mergeCell ref="BI104:BJ104"/>
    <mergeCell ref="A106:AX106"/>
    <mergeCell ref="BJ108:BJ112"/>
    <mergeCell ref="A109:AX109"/>
    <mergeCell ref="C111:AX111"/>
    <mergeCell ref="B112:AX112"/>
    <mergeCell ref="C117:AX117"/>
    <mergeCell ref="C114:AX114"/>
    <mergeCell ref="C115:AX115"/>
    <mergeCell ref="C116:AX116"/>
    <mergeCell ref="A105:AX105"/>
    <mergeCell ref="C110:AX110"/>
    <mergeCell ref="C113:AX113"/>
    <mergeCell ref="B118:AX118"/>
    <mergeCell ref="A108:AX108"/>
    <mergeCell ref="A78:AX78"/>
    <mergeCell ref="A60:AX60"/>
    <mergeCell ref="A104:AX104"/>
    <mergeCell ref="A63:AX63"/>
    <mergeCell ref="A69:AX69"/>
  </mergeCells>
  <pageMargins left="0.11811023622047245" right="0.11811023622047245" top="0" bottom="0" header="0.31496062992125984" footer="0.31496062992125984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9"/>
  <sheetViews>
    <sheetView view="pageBreakPreview" zoomScaleNormal="71" zoomScaleSheetLayoutView="100" workbookViewId="0">
      <pane ySplit="8" topLeftCell="A12" activePane="bottomLeft" state="frozen"/>
      <selection pane="bottomLeft" activeCell="BI43" sqref="BI43"/>
    </sheetView>
  </sheetViews>
  <sheetFormatPr defaultRowHeight="10.15" customHeight="1" x14ac:dyDescent="0.2"/>
  <cols>
    <col min="1" max="49" width="0.28515625" style="30" customWidth="1"/>
    <col min="50" max="50" width="10.5703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30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35" t="s">
        <v>185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</row>
    <row r="3" spans="1:59" ht="12.75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"/>
      <c r="BD3" s="1"/>
      <c r="BE3" s="1"/>
      <c r="BF3" s="1"/>
    </row>
    <row r="4" spans="1:59" ht="12.75" customHeight="1" x14ac:dyDescent="0.2">
      <c r="A4" s="242" t="s">
        <v>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4"/>
      <c r="AY4" s="251" t="s">
        <v>1</v>
      </c>
      <c r="AZ4" s="251" t="s">
        <v>2</v>
      </c>
      <c r="BA4" s="236" t="s">
        <v>3</v>
      </c>
      <c r="BB4" s="237"/>
      <c r="BC4" s="237"/>
      <c r="BD4" s="237"/>
      <c r="BE4" s="237"/>
      <c r="BF4" s="237"/>
    </row>
    <row r="5" spans="1:59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7"/>
      <c r="AY5" s="252"/>
      <c r="AZ5" s="252"/>
      <c r="BA5" s="252" t="s">
        <v>26</v>
      </c>
      <c r="BB5" s="253" t="s">
        <v>4</v>
      </c>
      <c r="BC5" s="253"/>
      <c r="BD5" s="253"/>
      <c r="BE5" s="253"/>
      <c r="BF5" s="253"/>
    </row>
    <row r="6" spans="1:59" ht="61.5" customHeight="1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7"/>
      <c r="AY6" s="252"/>
      <c r="AZ6" s="252"/>
      <c r="BA6" s="252"/>
      <c r="BB6" s="239" t="s">
        <v>5</v>
      </c>
      <c r="BC6" s="239" t="s">
        <v>6</v>
      </c>
      <c r="BD6" s="239" t="s">
        <v>7</v>
      </c>
      <c r="BE6" s="239" t="s">
        <v>8</v>
      </c>
      <c r="BF6" s="239"/>
    </row>
    <row r="7" spans="1:59" ht="31.5" customHeight="1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50"/>
      <c r="AY7" s="253"/>
      <c r="AZ7" s="253"/>
      <c r="BA7" s="253"/>
      <c r="BB7" s="239"/>
      <c r="BC7" s="239"/>
      <c r="BD7" s="239"/>
      <c r="BE7" s="158" t="s">
        <v>9</v>
      </c>
      <c r="BF7" s="158" t="s">
        <v>10</v>
      </c>
    </row>
    <row r="8" spans="1:59" ht="11.1" customHeight="1" x14ac:dyDescent="0.2">
      <c r="A8" s="236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  <c r="AY8" s="2">
        <v>2</v>
      </c>
      <c r="AZ8" s="159">
        <v>3</v>
      </c>
      <c r="BA8" s="159">
        <v>4</v>
      </c>
      <c r="BB8" s="159">
        <v>5</v>
      </c>
      <c r="BC8" s="159">
        <v>6</v>
      </c>
      <c r="BD8" s="159">
        <v>7</v>
      </c>
      <c r="BE8" s="158">
        <v>8</v>
      </c>
      <c r="BF8" s="158">
        <v>9</v>
      </c>
    </row>
    <row r="9" spans="1:59" ht="23.25" customHeight="1" x14ac:dyDescent="0.2">
      <c r="A9" s="3"/>
      <c r="B9" s="255" t="s">
        <v>27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6"/>
      <c r="AY9" s="11">
        <v>100</v>
      </c>
      <c r="AZ9" s="72" t="s">
        <v>28</v>
      </c>
      <c r="BA9" s="163">
        <f>BA10+BA12+BA14+BA15+BA16+BA17+BA18+BA13</f>
        <v>17107042</v>
      </c>
      <c r="BB9" s="163">
        <f>BB12</f>
        <v>16030180</v>
      </c>
      <c r="BC9" s="163">
        <f>BC16</f>
        <v>54862</v>
      </c>
      <c r="BD9" s="163">
        <f>BD16</f>
        <v>0</v>
      </c>
      <c r="BE9" s="163">
        <f>BE10+BE12+BE14+BE15+BE17+BE18+BE13</f>
        <v>1022000</v>
      </c>
      <c r="BF9" s="163">
        <f>BF12+BF17</f>
        <v>0</v>
      </c>
      <c r="BG9" s="82">
        <f>BA9+BA48-BA20</f>
        <v>0</v>
      </c>
    </row>
    <row r="10" spans="1:59" ht="21.75" customHeight="1" x14ac:dyDescent="0.2">
      <c r="A10" s="5"/>
      <c r="B10" s="217" t="s">
        <v>52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4" t="s">
        <v>229</v>
      </c>
      <c r="BA10" s="80">
        <f>BE10</f>
        <v>162000</v>
      </c>
      <c r="BB10" s="80" t="s">
        <v>28</v>
      </c>
      <c r="BC10" s="80" t="s">
        <v>28</v>
      </c>
      <c r="BD10" s="80" t="s">
        <v>28</v>
      </c>
      <c r="BE10" s="80">
        <f>162000</f>
        <v>162000</v>
      </c>
      <c r="BF10" s="80" t="s">
        <v>28</v>
      </c>
      <c r="BG10" s="9" t="s">
        <v>29</v>
      </c>
    </row>
    <row r="11" spans="1:59" ht="13.5" customHeight="1" x14ac:dyDescent="0.2">
      <c r="A11" s="5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/>
      <c r="AZ11" s="4"/>
      <c r="BA11" s="80"/>
      <c r="BB11" s="80"/>
      <c r="BC11" s="80"/>
      <c r="BD11" s="80"/>
      <c r="BE11" s="80"/>
      <c r="BF11" s="80"/>
    </row>
    <row r="12" spans="1:59" ht="12.75" x14ac:dyDescent="0.2">
      <c r="A12" s="5"/>
      <c r="B12" s="217" t="s">
        <v>32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120</v>
      </c>
      <c r="AZ12" s="4" t="s">
        <v>230</v>
      </c>
      <c r="BA12" s="80">
        <f>BB12+BE12+BF12</f>
        <v>16730180</v>
      </c>
      <c r="BB12" s="80">
        <f>16030180</f>
        <v>16030180</v>
      </c>
      <c r="BC12" s="80" t="s">
        <v>28</v>
      </c>
      <c r="BD12" s="80" t="s">
        <v>28</v>
      </c>
      <c r="BE12" s="80">
        <f>700000</f>
        <v>700000</v>
      </c>
      <c r="BF12" s="80">
        <v>0</v>
      </c>
      <c r="BG12" s="9" t="s">
        <v>235</v>
      </c>
    </row>
    <row r="13" spans="1:59" ht="27" customHeight="1" x14ac:dyDescent="0.2">
      <c r="A13" s="5"/>
      <c r="B13" s="217" t="s">
        <v>234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8">
        <v>130</v>
      </c>
      <c r="AZ13" s="4" t="s">
        <v>236</v>
      </c>
      <c r="BA13" s="80">
        <f>BB13+BE13+BF13</f>
        <v>100000</v>
      </c>
      <c r="BB13" s="80"/>
      <c r="BC13" s="80" t="s">
        <v>28</v>
      </c>
      <c r="BD13" s="80" t="s">
        <v>28</v>
      </c>
      <c r="BE13" s="80">
        <f>100000</f>
        <v>100000</v>
      </c>
      <c r="BF13" s="80">
        <v>0</v>
      </c>
      <c r="BG13" s="164">
        <v>2011</v>
      </c>
    </row>
    <row r="14" spans="1:59" ht="24" customHeight="1" x14ac:dyDescent="0.2">
      <c r="A14" s="5"/>
      <c r="B14" s="217" t="s">
        <v>31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8">
        <v>140</v>
      </c>
      <c r="AZ14" s="4" t="s">
        <v>231</v>
      </c>
      <c r="BA14" s="80">
        <f>BE14</f>
        <v>60000</v>
      </c>
      <c r="BB14" s="80" t="s">
        <v>28</v>
      </c>
      <c r="BC14" s="80" t="s">
        <v>28</v>
      </c>
      <c r="BD14" s="80" t="s">
        <v>28</v>
      </c>
      <c r="BE14" s="80">
        <f>60000</f>
        <v>60000</v>
      </c>
      <c r="BF14" s="80" t="s">
        <v>28</v>
      </c>
      <c r="BG14" s="9" t="s">
        <v>197</v>
      </c>
    </row>
    <row r="15" spans="1:59" ht="56.25" customHeight="1" x14ac:dyDescent="0.2">
      <c r="A15" s="5"/>
      <c r="B15" s="217" t="s">
        <v>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8">
        <v>150</v>
      </c>
      <c r="AZ15" s="4" t="s">
        <v>37</v>
      </c>
      <c r="BA15" s="80">
        <f>BE15</f>
        <v>0</v>
      </c>
      <c r="BB15" s="80" t="s">
        <v>28</v>
      </c>
      <c r="BC15" s="80" t="s">
        <v>28</v>
      </c>
      <c r="BD15" s="80" t="s">
        <v>28</v>
      </c>
      <c r="BE15" s="80">
        <v>0</v>
      </c>
      <c r="BF15" s="80" t="s">
        <v>28</v>
      </c>
    </row>
    <row r="16" spans="1:59" ht="26.25" customHeight="1" x14ac:dyDescent="0.2">
      <c r="A16" s="5"/>
      <c r="B16" s="217" t="s">
        <v>33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8">
        <v>160</v>
      </c>
      <c r="AZ16" s="4" t="s">
        <v>232</v>
      </c>
      <c r="BA16" s="80">
        <f>BC16+BD16</f>
        <v>54862</v>
      </c>
      <c r="BB16" s="80" t="s">
        <v>28</v>
      </c>
      <c r="BC16" s="80">
        <f>54862</f>
        <v>54862</v>
      </c>
      <c r="BD16" s="80">
        <v>0</v>
      </c>
      <c r="BE16" s="80" t="s">
        <v>28</v>
      </c>
      <c r="BF16" s="80" t="s">
        <v>28</v>
      </c>
      <c r="BG16" s="9" t="s">
        <v>38</v>
      </c>
    </row>
    <row r="17" spans="1:59" ht="13.5" customHeight="1" x14ac:dyDescent="0.2">
      <c r="A17" s="5"/>
      <c r="B17" s="217" t="s">
        <v>34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8">
        <v>17</v>
      </c>
      <c r="AZ17" s="4" t="s">
        <v>233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  <c r="BG17" s="9" t="s">
        <v>198</v>
      </c>
    </row>
    <row r="18" spans="1:59" ht="18" customHeight="1" x14ac:dyDescent="0.2">
      <c r="A18" s="5"/>
      <c r="B18" s="217" t="s">
        <v>35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>
        <v>180</v>
      </c>
      <c r="AZ18" s="4" t="s">
        <v>53</v>
      </c>
      <c r="BA18" s="80">
        <f>BE18</f>
        <v>0</v>
      </c>
      <c r="BB18" s="80" t="s">
        <v>28</v>
      </c>
      <c r="BC18" s="80" t="s">
        <v>28</v>
      </c>
      <c r="BD18" s="80" t="s">
        <v>28</v>
      </c>
      <c r="BE18" s="80">
        <v>0</v>
      </c>
      <c r="BF18" s="80">
        <v>0</v>
      </c>
    </row>
    <row r="19" spans="1:59" ht="12" customHeight="1" x14ac:dyDescent="0.2">
      <c r="A19" s="10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8"/>
      <c r="AZ19" s="4"/>
      <c r="BA19" s="80"/>
      <c r="BB19" s="80"/>
      <c r="BC19" s="80"/>
      <c r="BD19" s="80"/>
      <c r="BE19" s="80"/>
      <c r="BF19" s="80"/>
    </row>
    <row r="20" spans="1:59" ht="25.5" customHeight="1" x14ac:dyDescent="0.2">
      <c r="A20" s="3"/>
      <c r="B20" s="255" t="s">
        <v>39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6"/>
      <c r="AY20" s="11">
        <v>200</v>
      </c>
      <c r="AZ20" s="72" t="s">
        <v>28</v>
      </c>
      <c r="BA20" s="163">
        <f>BA21+BA27+BA30+BA35+BA37+BA38</f>
        <v>17107042</v>
      </c>
      <c r="BB20" s="163">
        <f>BB21+BB27+BB30+BB35+BB37+BB38</f>
        <v>16030180</v>
      </c>
      <c r="BC20" s="163">
        <f t="shared" ref="BC20:BE20" si="0">BC21+BC27+BC30+BC35+BC37+BC38</f>
        <v>54862</v>
      </c>
      <c r="BD20" s="163">
        <f t="shared" si="0"/>
        <v>0</v>
      </c>
      <c r="BE20" s="163">
        <f t="shared" si="0"/>
        <v>1022000</v>
      </c>
      <c r="BF20" s="163">
        <f>BF21+BF27+BF30+BF35+BF37+BF38</f>
        <v>0</v>
      </c>
      <c r="BG20" s="82"/>
    </row>
    <row r="21" spans="1:59" ht="36" customHeight="1" x14ac:dyDescent="0.2">
      <c r="A21" s="5"/>
      <c r="B21" s="220" t="s">
        <v>40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">
        <v>210</v>
      </c>
      <c r="AZ21" s="13"/>
      <c r="BA21" s="83">
        <f>BA22+BA25+BA26</f>
        <v>13098965</v>
      </c>
      <c r="BB21" s="83">
        <f t="shared" ref="BB21:BF21" si="1">BB22+BB25+BB26</f>
        <v>12653483</v>
      </c>
      <c r="BC21" s="83">
        <f t="shared" si="1"/>
        <v>17482</v>
      </c>
      <c r="BD21" s="83">
        <f t="shared" si="1"/>
        <v>0</v>
      </c>
      <c r="BE21" s="83">
        <f t="shared" si="1"/>
        <v>428000</v>
      </c>
      <c r="BF21" s="83">
        <f t="shared" si="1"/>
        <v>0</v>
      </c>
    </row>
    <row r="22" spans="1:59" ht="35.25" customHeight="1" x14ac:dyDescent="0.2">
      <c r="A22" s="5"/>
      <c r="B22" s="220" t="s">
        <v>41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">
        <v>211</v>
      </c>
      <c r="AZ22" s="13"/>
      <c r="BA22" s="83">
        <f>BA23+BA24</f>
        <v>12927983</v>
      </c>
      <c r="BB22" s="83">
        <f t="shared" ref="BB22:BF22" si="2">BB23+BB24</f>
        <v>12507983</v>
      </c>
      <c r="BC22" s="83">
        <f t="shared" si="2"/>
        <v>0</v>
      </c>
      <c r="BD22" s="83">
        <f t="shared" si="2"/>
        <v>0</v>
      </c>
      <c r="BE22" s="83">
        <f>BE23+BE24</f>
        <v>420000</v>
      </c>
      <c r="BF22" s="83">
        <f t="shared" si="2"/>
        <v>0</v>
      </c>
    </row>
    <row r="23" spans="1:59" ht="12.75" x14ac:dyDescent="0.2">
      <c r="A23" s="6"/>
      <c r="B23" s="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8"/>
      <c r="AZ23" s="4" t="s">
        <v>15</v>
      </c>
      <c r="BA23" s="80">
        <f>BB23+BC23+BD23+BE23</f>
        <v>9982511</v>
      </c>
      <c r="BB23" s="80">
        <f>9658511</f>
        <v>9658511</v>
      </c>
      <c r="BC23" s="80">
        <v>0</v>
      </c>
      <c r="BD23" s="80"/>
      <c r="BE23" s="80">
        <f>324000</f>
        <v>324000</v>
      </c>
      <c r="BF23" s="80"/>
      <c r="BG23" s="30" t="s">
        <v>219</v>
      </c>
    </row>
    <row r="24" spans="1:59" ht="12.75" x14ac:dyDescent="0.2">
      <c r="A24" s="153"/>
      <c r="B24" s="160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8"/>
      <c r="AZ24" s="4" t="s">
        <v>16</v>
      </c>
      <c r="BA24" s="80">
        <f>BB24+BC24+BD24+BE24</f>
        <v>2945472</v>
      </c>
      <c r="BB24" s="80">
        <f>2849472</f>
        <v>2849472</v>
      </c>
      <c r="BC24" s="80">
        <v>0</v>
      </c>
      <c r="BD24" s="80"/>
      <c r="BE24" s="80">
        <f>96000</f>
        <v>96000</v>
      </c>
      <c r="BF24" s="80">
        <v>0</v>
      </c>
      <c r="BG24" s="30" t="s">
        <v>220</v>
      </c>
    </row>
    <row r="25" spans="1:59" ht="12.75" x14ac:dyDescent="0.2">
      <c r="A25" s="153"/>
      <c r="B25" s="160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/>
      <c r="AZ25" s="4" t="s">
        <v>14</v>
      </c>
      <c r="BA25" s="80">
        <f>BB25+BC25+BD25+BE25</f>
        <v>83182</v>
      </c>
      <c r="BB25" s="80">
        <f>57700</f>
        <v>57700</v>
      </c>
      <c r="BC25" s="80">
        <f>15000+2482</f>
        <v>17482</v>
      </c>
      <c r="BD25" s="80"/>
      <c r="BE25" s="80">
        <f>8000</f>
        <v>8000</v>
      </c>
      <c r="BF25" s="80">
        <v>0</v>
      </c>
      <c r="BG25" s="30" t="s">
        <v>221</v>
      </c>
    </row>
    <row r="26" spans="1:59" ht="12.75" x14ac:dyDescent="0.2">
      <c r="A26" s="153"/>
      <c r="B26" s="160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8"/>
      <c r="AZ26" s="4" t="s">
        <v>20</v>
      </c>
      <c r="BA26" s="80">
        <f>BB26+BC26+BD26+BE26</f>
        <v>87800</v>
      </c>
      <c r="BB26" s="80">
        <f>87800</f>
        <v>87800</v>
      </c>
      <c r="BC26" s="80">
        <v>0</v>
      </c>
      <c r="BD26" s="80"/>
      <c r="BE26" s="80"/>
      <c r="BF26" s="80">
        <v>0</v>
      </c>
      <c r="BG26" s="30" t="s">
        <v>221</v>
      </c>
    </row>
    <row r="27" spans="1:59" ht="33" customHeight="1" x14ac:dyDescent="0.2">
      <c r="A27" s="5"/>
      <c r="B27" s="220" t="s">
        <v>42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">
        <v>220</v>
      </c>
      <c r="AZ27" s="13"/>
      <c r="BA27" s="83">
        <f>BA29</f>
        <v>0</v>
      </c>
      <c r="BB27" s="83">
        <f t="shared" ref="BB27:BF27" si="3">BB29</f>
        <v>0</v>
      </c>
      <c r="BC27" s="83">
        <f t="shared" si="3"/>
        <v>0</v>
      </c>
      <c r="BD27" s="83">
        <f t="shared" si="3"/>
        <v>0</v>
      </c>
      <c r="BE27" s="83">
        <f t="shared" si="3"/>
        <v>0</v>
      </c>
      <c r="BF27" s="83">
        <f t="shared" si="3"/>
        <v>0</v>
      </c>
    </row>
    <row r="28" spans="1:59" ht="12.75" x14ac:dyDescent="0.2">
      <c r="A28" s="6"/>
      <c r="B28" s="7"/>
      <c r="C28" s="217" t="s">
        <v>12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/>
      <c r="AZ28" s="4"/>
      <c r="BA28" s="80"/>
      <c r="BB28" s="80"/>
      <c r="BC28" s="80"/>
      <c r="BD28" s="80"/>
      <c r="BE28" s="80"/>
      <c r="BF28" s="80"/>
    </row>
    <row r="29" spans="1:59" ht="12.75" x14ac:dyDescent="0.2">
      <c r="A29" s="153"/>
      <c r="B29" s="160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8"/>
      <c r="AZ29" s="4" t="s">
        <v>17</v>
      </c>
      <c r="BA29" s="80">
        <f>BB29+BC29+BD29+BE29</f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</row>
    <row r="30" spans="1:59" ht="21.95" customHeight="1" x14ac:dyDescent="0.2">
      <c r="A30" s="153"/>
      <c r="B30" s="160"/>
      <c r="C30" s="220" t="s">
        <v>43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2">
        <v>230</v>
      </c>
      <c r="AZ30" s="13"/>
      <c r="BA30" s="83">
        <f>BA32+BA33+BA34</f>
        <v>396240</v>
      </c>
      <c r="BB30" s="83">
        <f>BB32+BB33+BB34</f>
        <v>391240</v>
      </c>
      <c r="BC30" s="83">
        <f t="shared" ref="BC30:BE30" si="4">BC32+BC33+BC34</f>
        <v>0</v>
      </c>
      <c r="BD30" s="83">
        <f t="shared" si="4"/>
        <v>0</v>
      </c>
      <c r="BE30" s="83">
        <f t="shared" si="4"/>
        <v>5000</v>
      </c>
      <c r="BF30" s="83">
        <f>BF32+BF33+BF34</f>
        <v>0</v>
      </c>
    </row>
    <row r="31" spans="1:59" ht="10.5" customHeight="1" x14ac:dyDescent="0.2">
      <c r="A31" s="153"/>
      <c r="B31" s="160"/>
      <c r="C31" s="217" t="s">
        <v>12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8"/>
      <c r="AZ31" s="4"/>
      <c r="BA31" s="80"/>
      <c r="BB31" s="80"/>
      <c r="BC31" s="80"/>
      <c r="BD31" s="80"/>
      <c r="BE31" s="80"/>
      <c r="BF31" s="80"/>
    </row>
    <row r="32" spans="1:59" ht="12.75" x14ac:dyDescent="0.2">
      <c r="A32" s="5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8"/>
      <c r="AZ32" s="4" t="s">
        <v>21</v>
      </c>
      <c r="BA32" s="80">
        <f>BB32+BC32+BD32+BE32</f>
        <v>356912</v>
      </c>
      <c r="BB32" s="80">
        <f>356912</f>
        <v>356912</v>
      </c>
      <c r="BC32" s="80">
        <v>0</v>
      </c>
      <c r="BD32" s="80"/>
      <c r="BE32" s="80">
        <v>0</v>
      </c>
      <c r="BF32" s="80">
        <v>0</v>
      </c>
    </row>
    <row r="33" spans="1:59" ht="12.75" x14ac:dyDescent="0.2">
      <c r="A33" s="6"/>
      <c r="B33" s="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4" t="s">
        <v>18</v>
      </c>
      <c r="BA33" s="80">
        <f>BB33+BC33+BD33+BE33</f>
        <v>34328</v>
      </c>
      <c r="BB33" s="80">
        <f>1450+32878</f>
        <v>34328</v>
      </c>
      <c r="BC33" s="80">
        <v>0</v>
      </c>
      <c r="BD33" s="80"/>
      <c r="BE33" s="80"/>
      <c r="BF33" s="80">
        <v>0</v>
      </c>
    </row>
    <row r="34" spans="1:59" ht="12.75" x14ac:dyDescent="0.2">
      <c r="A34" s="153"/>
      <c r="B34" s="160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8"/>
      <c r="AZ34" s="4" t="s">
        <v>19</v>
      </c>
      <c r="BA34" s="80">
        <f t="shared" ref="BA34" si="5">BB34+BC34+BD34+BE34</f>
        <v>5000</v>
      </c>
      <c r="BB34" s="80">
        <v>0</v>
      </c>
      <c r="BC34" s="80">
        <v>0</v>
      </c>
      <c r="BD34" s="80"/>
      <c r="BE34" s="80">
        <f>5000</f>
        <v>5000</v>
      </c>
      <c r="BF34" s="80">
        <v>0</v>
      </c>
    </row>
    <row r="35" spans="1:59" ht="23.25" customHeight="1" x14ac:dyDescent="0.2">
      <c r="A35" s="153"/>
      <c r="B35" s="160"/>
      <c r="C35" s="220" t="s">
        <v>44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2">
        <v>240</v>
      </c>
      <c r="AZ35" s="13"/>
      <c r="BA35" s="83">
        <v>0</v>
      </c>
      <c r="BB35" s="83">
        <v>0</v>
      </c>
      <c r="BC35" s="83">
        <v>0</v>
      </c>
      <c r="BD35" s="83">
        <v>0</v>
      </c>
      <c r="BE35" s="83">
        <v>0</v>
      </c>
      <c r="BF35" s="83">
        <v>0</v>
      </c>
    </row>
    <row r="36" spans="1:59" ht="11.1" customHeight="1" x14ac:dyDescent="0.2">
      <c r="A36" s="153"/>
      <c r="B36" s="160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8"/>
      <c r="AZ36" s="4"/>
      <c r="BA36" s="80"/>
      <c r="BB36" s="80"/>
      <c r="BC36" s="80"/>
      <c r="BD36" s="80"/>
      <c r="BE36" s="80"/>
      <c r="BF36" s="80"/>
    </row>
    <row r="37" spans="1:59" ht="23.25" customHeight="1" x14ac:dyDescent="0.2">
      <c r="A37" s="153"/>
      <c r="B37" s="160"/>
      <c r="C37" s="220" t="s">
        <v>45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1"/>
      <c r="AY37" s="12">
        <v>250</v>
      </c>
      <c r="AZ37" s="13" t="s">
        <v>55</v>
      </c>
      <c r="BA37" s="83">
        <f>BD37</f>
        <v>0</v>
      </c>
      <c r="BB37" s="83">
        <v>0</v>
      </c>
      <c r="BC37" s="83">
        <v>0</v>
      </c>
      <c r="BD37" s="83">
        <v>0</v>
      </c>
      <c r="BE37" s="83">
        <v>0</v>
      </c>
      <c r="BF37" s="83">
        <v>0</v>
      </c>
      <c r="BG37" s="9" t="s">
        <v>56</v>
      </c>
    </row>
    <row r="38" spans="1:59" ht="32.25" customHeight="1" x14ac:dyDescent="0.2">
      <c r="A38" s="5"/>
      <c r="B38" s="220" t="s">
        <v>54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1"/>
      <c r="AY38" s="12">
        <v>260</v>
      </c>
      <c r="AZ38" s="13" t="s">
        <v>13</v>
      </c>
      <c r="BA38" s="83">
        <f>BB38+BC38+BD38+BE38</f>
        <v>3611837</v>
      </c>
      <c r="BB38" s="83">
        <f>44400+2047207+302106+434944+156800</f>
        <v>2985457</v>
      </c>
      <c r="BC38" s="83">
        <f>37380</f>
        <v>37380</v>
      </c>
      <c r="BD38" s="83"/>
      <c r="BE38" s="83">
        <f>34000+135000+50000+86000+125000+159000</f>
        <v>589000</v>
      </c>
      <c r="BF38" s="83">
        <v>0</v>
      </c>
    </row>
    <row r="39" spans="1:59" ht="12.75" x14ac:dyDescent="0.2">
      <c r="A39" s="6"/>
      <c r="B39" s="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4"/>
      <c r="BA39" s="80"/>
      <c r="BB39" s="80"/>
      <c r="BC39" s="80"/>
      <c r="BD39" s="80"/>
      <c r="BE39" s="80"/>
      <c r="BF39" s="80"/>
    </row>
    <row r="40" spans="1:59" ht="11.1" customHeight="1" x14ac:dyDescent="0.2">
      <c r="A40" s="153"/>
      <c r="B40" s="160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8"/>
      <c r="AZ40" s="4"/>
      <c r="BA40" s="80"/>
      <c r="BB40" s="80"/>
      <c r="BC40" s="80"/>
      <c r="BD40" s="80"/>
      <c r="BE40" s="80"/>
      <c r="BF40" s="80"/>
    </row>
    <row r="41" spans="1:59" ht="22.5" customHeight="1" x14ac:dyDescent="0.2">
      <c r="A41" s="5"/>
      <c r="B41" s="217" t="s">
        <v>46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8">
        <v>300</v>
      </c>
      <c r="AZ41" s="4" t="s">
        <v>28</v>
      </c>
      <c r="BA41" s="80">
        <f t="shared" ref="BA41:BA46" si="6">BB41+BC41+BD41+BF41</f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25.5" customHeight="1" x14ac:dyDescent="0.2">
      <c r="A42" s="6"/>
      <c r="B42" s="7"/>
      <c r="C42" s="217" t="s">
        <v>47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>
        <v>310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14.25" customHeight="1" x14ac:dyDescent="0.2">
      <c r="A43" s="153"/>
      <c r="B43" s="160"/>
      <c r="C43" s="217" t="s">
        <v>48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8">
        <v>320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53"/>
      <c r="B44" s="160"/>
      <c r="C44" s="217" t="s">
        <v>49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>
        <v>400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21.95" customHeight="1" x14ac:dyDescent="0.2">
      <c r="A45" s="153"/>
      <c r="B45" s="160"/>
      <c r="C45" s="217" t="s">
        <v>50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>
        <v>410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2" customHeight="1" x14ac:dyDescent="0.2">
      <c r="A46" s="153"/>
      <c r="B46" s="160"/>
      <c r="C46" s="217" t="s">
        <v>51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8">
        <v>420</v>
      </c>
      <c r="AZ46" s="4"/>
      <c r="BA46" s="80">
        <f t="shared" si="6"/>
        <v>0</v>
      </c>
      <c r="BB46" s="80">
        <v>0</v>
      </c>
      <c r="BC46" s="80">
        <v>0</v>
      </c>
      <c r="BD46" s="80">
        <v>0</v>
      </c>
      <c r="BE46" s="80">
        <v>0</v>
      </c>
      <c r="BF46" s="80">
        <v>0</v>
      </c>
    </row>
    <row r="47" spans="1:59" ht="11.1" customHeight="1" x14ac:dyDescent="0.2">
      <c r="A47" s="153"/>
      <c r="B47" s="219" t="s">
        <v>22</v>
      </c>
      <c r="C47" s="220" t="s">
        <v>11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1"/>
      <c r="AY47" s="12" t="s">
        <v>23</v>
      </c>
      <c r="AZ47" s="13" t="s">
        <v>28</v>
      </c>
      <c r="BA47" s="83">
        <f>BB47+BC47+BD47+BE47</f>
        <v>0</v>
      </c>
      <c r="BB47" s="83">
        <v>0</v>
      </c>
      <c r="BC47" s="83">
        <v>0</v>
      </c>
      <c r="BD47" s="83">
        <v>0</v>
      </c>
      <c r="BE47" s="83">
        <v>0</v>
      </c>
      <c r="BF47" s="83">
        <v>0</v>
      </c>
    </row>
    <row r="48" spans="1:59" ht="10.5" customHeight="1" x14ac:dyDescent="0.2">
      <c r="A48" s="153"/>
      <c r="B48" s="271" t="s">
        <v>24</v>
      </c>
      <c r="C48" s="217" t="s">
        <v>11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8"/>
      <c r="AY48" s="8" t="s">
        <v>25</v>
      </c>
      <c r="AZ48" s="4" t="s">
        <v>28</v>
      </c>
      <c r="BA48" s="80">
        <f>BB48+BC48+BD48+BF48</f>
        <v>0</v>
      </c>
      <c r="BB48" s="80">
        <v>0</v>
      </c>
      <c r="BC48" s="80">
        <v>0</v>
      </c>
      <c r="BD48" s="80">
        <v>0</v>
      </c>
      <c r="BE48" s="80">
        <v>0</v>
      </c>
      <c r="BF48" s="80">
        <v>0</v>
      </c>
    </row>
    <row r="49" spans="1:58" ht="16.5" customHeight="1" x14ac:dyDescent="0.2">
      <c r="A49" s="206" t="s">
        <v>57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9"/>
  <sheetViews>
    <sheetView view="pageBreakPreview" zoomScaleNormal="71" zoomScaleSheetLayoutView="100" workbookViewId="0">
      <pane ySplit="8" topLeftCell="A9" activePane="bottomLeft" state="frozen"/>
      <selection pane="bottomLeft" activeCell="AY56" sqref="AY56"/>
    </sheetView>
  </sheetViews>
  <sheetFormatPr defaultRowHeight="10.15" customHeight="1" x14ac:dyDescent="0.2"/>
  <cols>
    <col min="1" max="49" width="0.28515625" style="30" customWidth="1"/>
    <col min="50" max="50" width="10.5703125" style="30" customWidth="1"/>
    <col min="51" max="51" width="6.7109375" style="30" customWidth="1"/>
    <col min="52" max="52" width="8.7109375" style="30" customWidth="1"/>
    <col min="53" max="53" width="13.57031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2.28515625" style="30" customWidth="1"/>
    <col min="58" max="58" width="9.7109375" style="30" customWidth="1"/>
    <col min="59" max="59" width="13.4257812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35" t="s">
        <v>212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</row>
    <row r="3" spans="1:59" ht="12.75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"/>
      <c r="BD3" s="1"/>
      <c r="BE3" s="1"/>
      <c r="BF3" s="1"/>
    </row>
    <row r="4" spans="1:59" ht="12.75" customHeight="1" x14ac:dyDescent="0.2">
      <c r="A4" s="242" t="s">
        <v>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4"/>
      <c r="AY4" s="251" t="s">
        <v>1</v>
      </c>
      <c r="AZ4" s="251" t="s">
        <v>2</v>
      </c>
      <c r="BA4" s="236" t="s">
        <v>3</v>
      </c>
      <c r="BB4" s="237"/>
      <c r="BC4" s="237"/>
      <c r="BD4" s="237"/>
      <c r="BE4" s="237"/>
      <c r="BF4" s="237"/>
    </row>
    <row r="5" spans="1:59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7"/>
      <c r="AY5" s="252"/>
      <c r="AZ5" s="252"/>
      <c r="BA5" s="252" t="s">
        <v>26</v>
      </c>
      <c r="BB5" s="253" t="s">
        <v>4</v>
      </c>
      <c r="BC5" s="253"/>
      <c r="BD5" s="253"/>
      <c r="BE5" s="253"/>
      <c r="BF5" s="253"/>
    </row>
    <row r="6" spans="1:59" ht="61.5" customHeight="1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7"/>
      <c r="AY6" s="252"/>
      <c r="AZ6" s="252"/>
      <c r="BA6" s="252"/>
      <c r="BB6" s="239" t="s">
        <v>5</v>
      </c>
      <c r="BC6" s="239" t="s">
        <v>6</v>
      </c>
      <c r="BD6" s="239" t="s">
        <v>7</v>
      </c>
      <c r="BE6" s="239" t="s">
        <v>8</v>
      </c>
      <c r="BF6" s="239"/>
    </row>
    <row r="7" spans="1:59" ht="26.25" customHeight="1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50"/>
      <c r="AY7" s="253"/>
      <c r="AZ7" s="253"/>
      <c r="BA7" s="253"/>
      <c r="BB7" s="239"/>
      <c r="BC7" s="239"/>
      <c r="BD7" s="239"/>
      <c r="BE7" s="158" t="s">
        <v>9</v>
      </c>
      <c r="BF7" s="158" t="s">
        <v>10</v>
      </c>
    </row>
    <row r="8" spans="1:59" ht="11.1" customHeight="1" x14ac:dyDescent="0.2">
      <c r="A8" s="236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  <c r="AY8" s="2">
        <v>2</v>
      </c>
      <c r="AZ8" s="159">
        <v>3</v>
      </c>
      <c r="BA8" s="159">
        <v>4</v>
      </c>
      <c r="BB8" s="159">
        <v>5</v>
      </c>
      <c r="BC8" s="159">
        <v>6</v>
      </c>
      <c r="BD8" s="159">
        <v>7</v>
      </c>
      <c r="BE8" s="158">
        <v>8</v>
      </c>
      <c r="BF8" s="158">
        <v>9</v>
      </c>
    </row>
    <row r="9" spans="1:59" ht="23.25" customHeight="1" x14ac:dyDescent="0.2">
      <c r="A9" s="3"/>
      <c r="B9" s="255" t="s">
        <v>27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6"/>
      <c r="AY9" s="11">
        <v>100</v>
      </c>
      <c r="AZ9" s="72" t="s">
        <v>28</v>
      </c>
      <c r="BA9" s="163">
        <f>BA10+BA12+BA14+BA15+BA16+BA17+BA18+BA13</f>
        <v>17107042</v>
      </c>
      <c r="BB9" s="163">
        <f>BB12</f>
        <v>16030180</v>
      </c>
      <c r="BC9" s="163">
        <f>BC16</f>
        <v>54862</v>
      </c>
      <c r="BD9" s="163">
        <f>BD16</f>
        <v>0</v>
      </c>
      <c r="BE9" s="163">
        <f>BE10+BE12+BE14+BE15+BE17+BE18+BE13</f>
        <v>1022000</v>
      </c>
      <c r="BF9" s="163">
        <f>BF12+BF17</f>
        <v>0</v>
      </c>
      <c r="BG9" s="82">
        <f>BA9+BA48-BA20</f>
        <v>0</v>
      </c>
    </row>
    <row r="10" spans="1:59" ht="21.75" customHeight="1" x14ac:dyDescent="0.2">
      <c r="A10" s="5"/>
      <c r="B10" s="217" t="s">
        <v>52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4" t="s">
        <v>229</v>
      </c>
      <c r="BA10" s="80">
        <f>BE10</f>
        <v>162000</v>
      </c>
      <c r="BB10" s="80" t="s">
        <v>28</v>
      </c>
      <c r="BC10" s="80" t="s">
        <v>28</v>
      </c>
      <c r="BD10" s="80" t="s">
        <v>28</v>
      </c>
      <c r="BE10" s="80">
        <f>162000</f>
        <v>162000</v>
      </c>
      <c r="BF10" s="80" t="s">
        <v>28</v>
      </c>
      <c r="BG10" s="9" t="s">
        <v>29</v>
      </c>
    </row>
    <row r="11" spans="1:59" ht="13.5" customHeight="1" x14ac:dyDescent="0.2">
      <c r="A11" s="5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/>
      <c r="AZ11" s="4"/>
      <c r="BA11" s="80"/>
      <c r="BB11" s="80"/>
      <c r="BC11" s="80"/>
      <c r="BD11" s="80"/>
      <c r="BE11" s="80"/>
      <c r="BF11" s="80"/>
    </row>
    <row r="12" spans="1:59" ht="12.75" customHeight="1" x14ac:dyDescent="0.2">
      <c r="A12" s="5"/>
      <c r="B12" s="217" t="s">
        <v>32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120</v>
      </c>
      <c r="AZ12" s="4" t="s">
        <v>230</v>
      </c>
      <c r="BA12" s="80">
        <f>BB12+BE12+BF12</f>
        <v>16730180</v>
      </c>
      <c r="BB12" s="80">
        <f>16030180</f>
        <v>16030180</v>
      </c>
      <c r="BC12" s="80" t="s">
        <v>28</v>
      </c>
      <c r="BD12" s="80" t="s">
        <v>28</v>
      </c>
      <c r="BE12" s="80">
        <f>700000</f>
        <v>700000</v>
      </c>
      <c r="BF12" s="80">
        <v>0</v>
      </c>
      <c r="BG12" s="9" t="s">
        <v>36</v>
      </c>
    </row>
    <row r="13" spans="1:59" ht="24" customHeight="1" x14ac:dyDescent="0.2">
      <c r="A13" s="5"/>
      <c r="B13" s="217" t="s">
        <v>234</v>
      </c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8">
        <v>130</v>
      </c>
      <c r="AZ13" s="4" t="s">
        <v>236</v>
      </c>
      <c r="BA13" s="80">
        <f>BB13+BE13+BF13</f>
        <v>100000</v>
      </c>
      <c r="BB13" s="80">
        <v>0</v>
      </c>
      <c r="BC13" s="80" t="s">
        <v>28</v>
      </c>
      <c r="BD13" s="80" t="s">
        <v>28</v>
      </c>
      <c r="BE13" s="80">
        <f>100000</f>
        <v>100000</v>
      </c>
      <c r="BF13" s="80">
        <v>0</v>
      </c>
      <c r="BG13" s="9" t="s">
        <v>36</v>
      </c>
    </row>
    <row r="14" spans="1:59" ht="56.25" customHeight="1" x14ac:dyDescent="0.2">
      <c r="A14" s="5"/>
      <c r="B14" s="217" t="s">
        <v>31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8">
        <v>140</v>
      </c>
      <c r="AZ14" s="4" t="s">
        <v>231</v>
      </c>
      <c r="BA14" s="80">
        <f>BE14</f>
        <v>60000</v>
      </c>
      <c r="BB14" s="80" t="s">
        <v>28</v>
      </c>
      <c r="BC14" s="80" t="s">
        <v>28</v>
      </c>
      <c r="BD14" s="80" t="s">
        <v>28</v>
      </c>
      <c r="BE14" s="80">
        <f>60000</f>
        <v>60000</v>
      </c>
      <c r="BF14" s="80" t="s">
        <v>28</v>
      </c>
      <c r="BG14" s="9" t="s">
        <v>197</v>
      </c>
    </row>
    <row r="15" spans="1:59" ht="26.25" customHeight="1" x14ac:dyDescent="0.2">
      <c r="A15" s="5"/>
      <c r="B15" s="217" t="s">
        <v>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8"/>
      <c r="AY15" s="8">
        <v>150</v>
      </c>
      <c r="AZ15" s="4" t="s">
        <v>37</v>
      </c>
      <c r="BA15" s="80">
        <f>BE15</f>
        <v>0</v>
      </c>
      <c r="BB15" s="80" t="s">
        <v>28</v>
      </c>
      <c r="BC15" s="80" t="s">
        <v>28</v>
      </c>
      <c r="BD15" s="80" t="s">
        <v>28</v>
      </c>
      <c r="BE15" s="80">
        <v>0</v>
      </c>
      <c r="BF15" s="80" t="s">
        <v>28</v>
      </c>
    </row>
    <row r="16" spans="1:59" ht="13.5" customHeight="1" x14ac:dyDescent="0.2">
      <c r="A16" s="5"/>
      <c r="B16" s="217" t="s">
        <v>33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AY16" s="8">
        <v>160</v>
      </c>
      <c r="AZ16" s="4" t="s">
        <v>232</v>
      </c>
      <c r="BA16" s="80">
        <f>BC16+BD16</f>
        <v>54862</v>
      </c>
      <c r="BB16" s="80" t="s">
        <v>28</v>
      </c>
      <c r="BC16" s="80">
        <f>15000+2482+37380</f>
        <v>54862</v>
      </c>
      <c r="BD16" s="80">
        <v>0</v>
      </c>
      <c r="BE16" s="80" t="s">
        <v>28</v>
      </c>
      <c r="BF16" s="80" t="s">
        <v>28</v>
      </c>
      <c r="BG16" s="9" t="s">
        <v>38</v>
      </c>
    </row>
    <row r="17" spans="1:60" ht="13.5" customHeight="1" x14ac:dyDescent="0.2">
      <c r="A17" s="5"/>
      <c r="B17" s="217" t="s">
        <v>34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8"/>
      <c r="AY17" s="8">
        <v>170</v>
      </c>
      <c r="AZ17" s="4" t="s">
        <v>233</v>
      </c>
      <c r="BA17" s="80">
        <f>BE17</f>
        <v>0</v>
      </c>
      <c r="BB17" s="80" t="s">
        <v>28</v>
      </c>
      <c r="BC17" s="80" t="s">
        <v>28</v>
      </c>
      <c r="BD17" s="80" t="s">
        <v>28</v>
      </c>
      <c r="BE17" s="80">
        <v>0</v>
      </c>
      <c r="BF17" s="80">
        <v>0</v>
      </c>
      <c r="BG17" s="9" t="s">
        <v>198</v>
      </c>
    </row>
    <row r="18" spans="1:60" ht="18" customHeight="1" x14ac:dyDescent="0.2">
      <c r="A18" s="5"/>
      <c r="B18" s="217" t="s">
        <v>35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>
        <v>180</v>
      </c>
      <c r="AZ18" s="4" t="s">
        <v>53</v>
      </c>
      <c r="BA18" s="80">
        <f>BE18</f>
        <v>0</v>
      </c>
      <c r="BB18" s="80" t="s">
        <v>28</v>
      </c>
      <c r="BC18" s="80" t="s">
        <v>28</v>
      </c>
      <c r="BD18" s="80" t="s">
        <v>28</v>
      </c>
      <c r="BE18" s="80">
        <v>0</v>
      </c>
      <c r="BF18" s="80">
        <v>0</v>
      </c>
    </row>
    <row r="19" spans="1:60" ht="12" customHeight="1" x14ac:dyDescent="0.2">
      <c r="A19" s="10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8"/>
      <c r="AZ19" s="4"/>
      <c r="BA19" s="80"/>
      <c r="BB19" s="80"/>
      <c r="BC19" s="80"/>
      <c r="BD19" s="80"/>
      <c r="BE19" s="80"/>
      <c r="BF19" s="80"/>
    </row>
    <row r="20" spans="1:60" ht="25.5" customHeight="1" x14ac:dyDescent="0.2">
      <c r="A20" s="3"/>
      <c r="B20" s="255" t="s">
        <v>39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6"/>
      <c r="AY20" s="11">
        <v>200</v>
      </c>
      <c r="AZ20" s="72" t="s">
        <v>28</v>
      </c>
      <c r="BA20" s="163">
        <f>BA21+BA27+BA30+BA35+BA37+BA38</f>
        <v>17107042</v>
      </c>
      <c r="BB20" s="163">
        <f>BB21+BB27+BB30+BB35+BB37+BB38</f>
        <v>16030180</v>
      </c>
      <c r="BC20" s="163">
        <f t="shared" ref="BC20:BE20" si="0">BC21+BC27+BC30+BC35+BC37+BC38</f>
        <v>54862</v>
      </c>
      <c r="BD20" s="163">
        <f t="shared" si="0"/>
        <v>0</v>
      </c>
      <c r="BE20" s="163">
        <f t="shared" si="0"/>
        <v>1022000</v>
      </c>
      <c r="BF20" s="163">
        <f>BF21+BF27+BF30+BF35+BF37+BF38</f>
        <v>0</v>
      </c>
      <c r="BG20" s="85"/>
      <c r="BH20" s="34"/>
    </row>
    <row r="21" spans="1:60" ht="36" customHeight="1" x14ac:dyDescent="0.2">
      <c r="A21" s="5"/>
      <c r="B21" s="220" t="s">
        <v>40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2">
        <v>210</v>
      </c>
      <c r="AZ21" s="13"/>
      <c r="BA21" s="83">
        <f>BA22+BA25+BA26</f>
        <v>13098965</v>
      </c>
      <c r="BB21" s="83">
        <f t="shared" ref="BB21:BF21" si="1">BB22+BB25+BB26</f>
        <v>12653483</v>
      </c>
      <c r="BC21" s="83">
        <f t="shared" si="1"/>
        <v>17482</v>
      </c>
      <c r="BD21" s="83">
        <f t="shared" si="1"/>
        <v>0</v>
      </c>
      <c r="BE21" s="83">
        <f t="shared" si="1"/>
        <v>428000</v>
      </c>
      <c r="BF21" s="83">
        <f t="shared" si="1"/>
        <v>0</v>
      </c>
    </row>
    <row r="22" spans="1:60" ht="35.25" customHeight="1" x14ac:dyDescent="0.2">
      <c r="A22" s="5"/>
      <c r="B22" s="220" t="s">
        <v>41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2">
        <v>211</v>
      </c>
      <c r="AZ22" s="13"/>
      <c r="BA22" s="83">
        <f>BA23+BA24</f>
        <v>12927983</v>
      </c>
      <c r="BB22" s="83">
        <f t="shared" ref="BB22:BF22" si="2">BB23+BB24</f>
        <v>12507983</v>
      </c>
      <c r="BC22" s="83">
        <f t="shared" si="2"/>
        <v>0</v>
      </c>
      <c r="BD22" s="83">
        <f t="shared" si="2"/>
        <v>0</v>
      </c>
      <c r="BE22" s="83">
        <f>BE23+BE24</f>
        <v>420000</v>
      </c>
      <c r="BF22" s="83">
        <f t="shared" si="2"/>
        <v>0</v>
      </c>
    </row>
    <row r="23" spans="1:60" ht="12.75" x14ac:dyDescent="0.2">
      <c r="A23" s="6"/>
      <c r="B23" s="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8"/>
      <c r="AY23" s="8"/>
      <c r="AZ23" s="4" t="s">
        <v>15</v>
      </c>
      <c r="BA23" s="80">
        <f>BB23+BC23+BD23+BE23</f>
        <v>9982511</v>
      </c>
      <c r="BB23" s="80">
        <f>9658511</f>
        <v>9658511</v>
      </c>
      <c r="BC23" s="80">
        <v>0</v>
      </c>
      <c r="BD23" s="80">
        <v>0</v>
      </c>
      <c r="BE23" s="80">
        <f>324000</f>
        <v>324000</v>
      </c>
      <c r="BF23" s="80">
        <v>0</v>
      </c>
    </row>
    <row r="24" spans="1:60" ht="12.75" x14ac:dyDescent="0.2">
      <c r="A24" s="153"/>
      <c r="B24" s="160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8"/>
      <c r="AY24" s="8"/>
      <c r="AZ24" s="4" t="s">
        <v>16</v>
      </c>
      <c r="BA24" s="80">
        <f>BB24+BC24+BD24+BE24</f>
        <v>2945472</v>
      </c>
      <c r="BB24" s="80">
        <f>2849472</f>
        <v>2849472</v>
      </c>
      <c r="BC24" s="80">
        <v>0</v>
      </c>
      <c r="BD24" s="80">
        <v>0</v>
      </c>
      <c r="BE24" s="80">
        <f>96000</f>
        <v>96000</v>
      </c>
      <c r="BF24" s="80">
        <v>0</v>
      </c>
    </row>
    <row r="25" spans="1:60" ht="12.75" x14ac:dyDescent="0.2">
      <c r="A25" s="153"/>
      <c r="B25" s="160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/>
      <c r="AZ25" s="4" t="s">
        <v>14</v>
      </c>
      <c r="BA25" s="80">
        <f>BB25+BC25+BD25+BE25</f>
        <v>83182</v>
      </c>
      <c r="BB25" s="80">
        <f>57700</f>
        <v>57700</v>
      </c>
      <c r="BC25" s="80">
        <f>15000+2482</f>
        <v>17482</v>
      </c>
      <c r="BD25" s="80">
        <v>0</v>
      </c>
      <c r="BE25" s="80">
        <f>8000</f>
        <v>8000</v>
      </c>
      <c r="BF25" s="80">
        <v>0</v>
      </c>
    </row>
    <row r="26" spans="1:60" ht="12.75" x14ac:dyDescent="0.2">
      <c r="A26" s="153"/>
      <c r="B26" s="160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8"/>
      <c r="AY26" s="8"/>
      <c r="AZ26" s="4" t="s">
        <v>20</v>
      </c>
      <c r="BA26" s="80">
        <f>BB26+BC26+BD26+BE26</f>
        <v>87800</v>
      </c>
      <c r="BB26" s="80">
        <f>87800</f>
        <v>87800</v>
      </c>
      <c r="BC26" s="80">
        <v>0</v>
      </c>
      <c r="BD26" s="80">
        <v>0</v>
      </c>
      <c r="BE26" s="80"/>
      <c r="BF26" s="80">
        <v>0</v>
      </c>
    </row>
    <row r="27" spans="1:60" ht="33" customHeight="1" x14ac:dyDescent="0.2">
      <c r="A27" s="5"/>
      <c r="B27" s="220" t="s">
        <v>42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1"/>
      <c r="AY27" s="12">
        <v>220</v>
      </c>
      <c r="AZ27" s="13"/>
      <c r="BA27" s="83">
        <f>BA29</f>
        <v>0</v>
      </c>
      <c r="BB27" s="83">
        <f t="shared" ref="BB27:BF27" si="3">BB29</f>
        <v>0</v>
      </c>
      <c r="BC27" s="83">
        <f t="shared" si="3"/>
        <v>0</v>
      </c>
      <c r="BD27" s="83">
        <f t="shared" si="3"/>
        <v>0</v>
      </c>
      <c r="BE27" s="83">
        <f t="shared" si="3"/>
        <v>0</v>
      </c>
      <c r="BF27" s="83">
        <f t="shared" si="3"/>
        <v>0</v>
      </c>
    </row>
    <row r="28" spans="1:60" ht="12.75" x14ac:dyDescent="0.2">
      <c r="A28" s="6"/>
      <c r="B28" s="7"/>
      <c r="C28" s="217" t="s">
        <v>12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/>
      <c r="AZ28" s="4"/>
      <c r="BA28" s="80"/>
      <c r="BB28" s="80"/>
      <c r="BC28" s="80"/>
      <c r="BD28" s="80"/>
      <c r="BE28" s="80"/>
      <c r="BF28" s="80"/>
    </row>
    <row r="29" spans="1:60" ht="12.75" x14ac:dyDescent="0.2">
      <c r="A29" s="153"/>
      <c r="B29" s="160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8"/>
      <c r="AZ29" s="4" t="s">
        <v>17</v>
      </c>
      <c r="BA29" s="80">
        <f>BB29+BC29+BD29+BE29</f>
        <v>0</v>
      </c>
      <c r="BB29" s="80">
        <v>0</v>
      </c>
      <c r="BC29" s="80">
        <v>0</v>
      </c>
      <c r="BD29" s="80">
        <v>0</v>
      </c>
      <c r="BE29" s="80">
        <v>0</v>
      </c>
      <c r="BF29" s="80">
        <v>0</v>
      </c>
    </row>
    <row r="30" spans="1:60" ht="21.95" customHeight="1" x14ac:dyDescent="0.2">
      <c r="A30" s="153"/>
      <c r="B30" s="160"/>
      <c r="C30" s="220" t="s">
        <v>43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2">
        <v>230</v>
      </c>
      <c r="AZ30" s="13"/>
      <c r="BA30" s="83">
        <f>BA32+BA33+BA34</f>
        <v>396240</v>
      </c>
      <c r="BB30" s="83">
        <f>BB32+BB33+BB34</f>
        <v>391240</v>
      </c>
      <c r="BC30" s="83">
        <f t="shared" ref="BC30:BE30" si="4">BC32+BC33+BC34</f>
        <v>0</v>
      </c>
      <c r="BD30" s="83">
        <f t="shared" si="4"/>
        <v>0</v>
      </c>
      <c r="BE30" s="83">
        <f t="shared" si="4"/>
        <v>5000</v>
      </c>
      <c r="BF30" s="83">
        <f>BF32+BF33+BF34</f>
        <v>0</v>
      </c>
    </row>
    <row r="31" spans="1:60" ht="10.5" customHeight="1" x14ac:dyDescent="0.2">
      <c r="A31" s="153"/>
      <c r="B31" s="160"/>
      <c r="C31" s="217" t="s">
        <v>12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8"/>
      <c r="AY31" s="8"/>
      <c r="AZ31" s="4"/>
      <c r="BA31" s="80"/>
      <c r="BB31" s="80"/>
      <c r="BC31" s="80"/>
      <c r="BD31" s="80"/>
      <c r="BE31" s="80"/>
      <c r="BF31" s="80"/>
    </row>
    <row r="32" spans="1:60" ht="12.75" x14ac:dyDescent="0.2">
      <c r="A32" s="5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8"/>
      <c r="AZ32" s="4" t="s">
        <v>21</v>
      </c>
      <c r="BA32" s="80">
        <f>BB32+BC32+BD32+BE32</f>
        <v>356912</v>
      </c>
      <c r="BB32" s="80">
        <f>356912</f>
        <v>356912</v>
      </c>
      <c r="BC32" s="80">
        <v>0</v>
      </c>
      <c r="BD32" s="80"/>
      <c r="BE32" s="80">
        <v>0</v>
      </c>
      <c r="BF32" s="80">
        <v>0</v>
      </c>
    </row>
    <row r="33" spans="1:59" ht="12.75" x14ac:dyDescent="0.2">
      <c r="A33" s="6"/>
      <c r="B33" s="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4" t="s">
        <v>18</v>
      </c>
      <c r="BA33" s="80">
        <f>BB33+BC33+BD33+BE33</f>
        <v>34328</v>
      </c>
      <c r="BB33" s="80">
        <f>32878+1450</f>
        <v>34328</v>
      </c>
      <c r="BC33" s="80">
        <v>0</v>
      </c>
      <c r="BD33" s="80"/>
      <c r="BE33" s="80"/>
      <c r="BF33" s="80">
        <v>0</v>
      </c>
    </row>
    <row r="34" spans="1:59" ht="23.25" customHeight="1" x14ac:dyDescent="0.2">
      <c r="A34" s="153"/>
      <c r="B34" s="160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8"/>
      <c r="AZ34" s="4" t="s">
        <v>19</v>
      </c>
      <c r="BA34" s="80">
        <f t="shared" ref="BA34" si="5">BB34+BC34+BD34+BE34</f>
        <v>5000</v>
      </c>
      <c r="BB34" s="80"/>
      <c r="BC34" s="80">
        <v>0</v>
      </c>
      <c r="BD34" s="80"/>
      <c r="BE34" s="80">
        <f>5000</f>
        <v>5000</v>
      </c>
      <c r="BF34" s="80">
        <v>0</v>
      </c>
    </row>
    <row r="35" spans="1:59" ht="11.1" customHeight="1" x14ac:dyDescent="0.2">
      <c r="A35" s="153"/>
      <c r="B35" s="160"/>
      <c r="C35" s="220" t="s">
        <v>44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2">
        <v>240</v>
      </c>
      <c r="AZ35" s="13"/>
      <c r="BA35" s="83">
        <v>0</v>
      </c>
      <c r="BB35" s="83">
        <v>0</v>
      </c>
      <c r="BC35" s="83">
        <v>0</v>
      </c>
      <c r="BD35" s="83">
        <v>0</v>
      </c>
      <c r="BE35" s="83">
        <v>0</v>
      </c>
      <c r="BF35" s="83">
        <v>0</v>
      </c>
    </row>
    <row r="36" spans="1:59" ht="23.25" customHeight="1" x14ac:dyDescent="0.2">
      <c r="A36" s="153"/>
      <c r="B36" s="160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8"/>
      <c r="AZ36" s="4"/>
      <c r="BA36" s="80"/>
      <c r="BB36" s="80"/>
      <c r="BC36" s="80"/>
      <c r="BD36" s="80"/>
      <c r="BE36" s="80"/>
      <c r="BF36" s="80"/>
    </row>
    <row r="37" spans="1:59" ht="32.25" customHeight="1" x14ac:dyDescent="0.2">
      <c r="A37" s="153"/>
      <c r="B37" s="160"/>
      <c r="C37" s="220" t="s">
        <v>45</v>
      </c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1"/>
      <c r="AY37" s="12">
        <v>250</v>
      </c>
      <c r="AZ37" s="13" t="s">
        <v>55</v>
      </c>
      <c r="BA37" s="83">
        <f>BD37</f>
        <v>0</v>
      </c>
      <c r="BB37" s="83">
        <v>0</v>
      </c>
      <c r="BC37" s="83">
        <v>0</v>
      </c>
      <c r="BD37" s="83">
        <v>0</v>
      </c>
      <c r="BE37" s="83">
        <v>0</v>
      </c>
      <c r="BF37" s="83">
        <v>0</v>
      </c>
      <c r="BG37" s="9" t="s">
        <v>56</v>
      </c>
    </row>
    <row r="38" spans="1:59" ht="12.75" x14ac:dyDescent="0.2">
      <c r="A38" s="5"/>
      <c r="B38" s="220" t="s">
        <v>54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1"/>
      <c r="AY38" s="12">
        <v>260</v>
      </c>
      <c r="AZ38" s="13" t="s">
        <v>13</v>
      </c>
      <c r="BA38" s="83">
        <f>BB38+BC38+BD38+BE38</f>
        <v>3611837</v>
      </c>
      <c r="BB38" s="83">
        <f>44400+2047207+302106+434944+156800</f>
        <v>2985457</v>
      </c>
      <c r="BC38" s="83">
        <v>37380</v>
      </c>
      <c r="BD38" s="83">
        <v>0</v>
      </c>
      <c r="BE38" s="83">
        <f>34000+135000+50000+86000+125000+159000</f>
        <v>589000</v>
      </c>
      <c r="BF38" s="83">
        <v>0</v>
      </c>
    </row>
    <row r="39" spans="1:59" ht="11.1" customHeight="1" x14ac:dyDescent="0.2">
      <c r="A39" s="6"/>
      <c r="B39" s="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4"/>
      <c r="BA39" s="80"/>
      <c r="BB39" s="80"/>
      <c r="BC39" s="80"/>
      <c r="BD39" s="80"/>
      <c r="BE39" s="80"/>
      <c r="BF39" s="80"/>
    </row>
    <row r="40" spans="1:59" ht="22.5" customHeight="1" x14ac:dyDescent="0.2">
      <c r="A40" s="153"/>
      <c r="B40" s="160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8"/>
      <c r="AZ40" s="4"/>
      <c r="BA40" s="80"/>
      <c r="BB40" s="80"/>
      <c r="BC40" s="80"/>
      <c r="BD40" s="80"/>
      <c r="BE40" s="80"/>
      <c r="BF40" s="80"/>
    </row>
    <row r="41" spans="1:59" ht="25.5" customHeight="1" x14ac:dyDescent="0.2">
      <c r="A41" s="5"/>
      <c r="B41" s="217" t="s">
        <v>46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8">
        <v>300</v>
      </c>
      <c r="AZ41" s="4" t="s">
        <v>28</v>
      </c>
      <c r="BA41" s="80">
        <f t="shared" ref="BA41:BA46" si="6">BB41+BC41+BD41+BF41</f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</row>
    <row r="42" spans="1:59" ht="14.25" customHeight="1" x14ac:dyDescent="0.2">
      <c r="A42" s="6"/>
      <c r="B42" s="7"/>
      <c r="C42" s="217" t="s">
        <v>47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>
        <v>310</v>
      </c>
      <c r="AZ42" s="4"/>
      <c r="BA42" s="80">
        <f t="shared" si="6"/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</row>
    <row r="43" spans="1:59" ht="21.95" customHeight="1" x14ac:dyDescent="0.2">
      <c r="A43" s="153"/>
      <c r="B43" s="160"/>
      <c r="C43" s="217" t="s">
        <v>48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8"/>
      <c r="AY43" s="8">
        <v>320</v>
      </c>
      <c r="AZ43" s="4"/>
      <c r="BA43" s="80">
        <f t="shared" si="6"/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</row>
    <row r="44" spans="1:59" ht="21.95" customHeight="1" x14ac:dyDescent="0.2">
      <c r="A44" s="153"/>
      <c r="B44" s="160"/>
      <c r="C44" s="217" t="s">
        <v>49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>
        <v>400</v>
      </c>
      <c r="AZ44" s="4"/>
      <c r="BA44" s="80">
        <f t="shared" si="6"/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</row>
    <row r="45" spans="1:59" ht="12" customHeight="1" x14ac:dyDescent="0.2">
      <c r="A45" s="153"/>
      <c r="B45" s="160"/>
      <c r="C45" s="217" t="s">
        <v>50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>
        <v>410</v>
      </c>
      <c r="AZ45" s="4"/>
      <c r="BA45" s="80">
        <f t="shared" si="6"/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</row>
    <row r="46" spans="1:59" ht="11.1" customHeight="1" x14ac:dyDescent="0.2">
      <c r="A46" s="153"/>
      <c r="B46" s="160"/>
      <c r="C46" s="217" t="s">
        <v>51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8"/>
      <c r="AY46" s="8">
        <v>420</v>
      </c>
      <c r="AZ46" s="4"/>
      <c r="BA46" s="80">
        <f t="shared" si="6"/>
        <v>0</v>
      </c>
      <c r="BB46" s="80">
        <v>0</v>
      </c>
      <c r="BC46" s="80">
        <v>0</v>
      </c>
      <c r="BD46" s="80">
        <v>0</v>
      </c>
      <c r="BE46" s="80">
        <v>0</v>
      </c>
      <c r="BF46" s="80">
        <v>0</v>
      </c>
    </row>
    <row r="47" spans="1:59" ht="10.5" customHeight="1" x14ac:dyDescent="0.2">
      <c r="A47" s="153"/>
      <c r="B47" s="219" t="s">
        <v>22</v>
      </c>
      <c r="C47" s="220" t="s">
        <v>11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1"/>
      <c r="AY47" s="12" t="s">
        <v>23</v>
      </c>
      <c r="AZ47" s="13" t="s">
        <v>28</v>
      </c>
      <c r="BA47" s="83">
        <f>BB47+BC47+BD47+BE47</f>
        <v>0</v>
      </c>
      <c r="BB47" s="83">
        <v>0</v>
      </c>
      <c r="BC47" s="83">
        <v>0</v>
      </c>
      <c r="BD47" s="83">
        <v>0</v>
      </c>
      <c r="BE47" s="83">
        <v>0</v>
      </c>
      <c r="BF47" s="83">
        <v>0</v>
      </c>
    </row>
    <row r="48" spans="1:59" ht="42" customHeight="1" x14ac:dyDescent="0.2">
      <c r="A48" s="153"/>
      <c r="B48" s="271" t="s">
        <v>24</v>
      </c>
      <c r="C48" s="217" t="s">
        <v>11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8"/>
      <c r="AY48" s="8" t="s">
        <v>25</v>
      </c>
      <c r="AZ48" s="4" t="s">
        <v>28</v>
      </c>
      <c r="BA48" s="80">
        <f>BB48+BC48+BD48+BF48</f>
        <v>0</v>
      </c>
      <c r="BB48" s="80">
        <v>0</v>
      </c>
      <c r="BC48" s="80">
        <v>0</v>
      </c>
      <c r="BD48" s="80">
        <v>0</v>
      </c>
      <c r="BE48" s="80">
        <v>0</v>
      </c>
      <c r="BF48" s="80">
        <v>0</v>
      </c>
    </row>
    <row r="49" spans="1:58" ht="22.5" customHeight="1" x14ac:dyDescent="0.2">
      <c r="A49" s="206" t="s">
        <v>57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60" zoomScaleNormal="55" workbookViewId="0">
      <selection activeCell="D29" sqref="D29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78" customWidth="1"/>
  </cols>
  <sheetData>
    <row r="1" spans="1:13" ht="18.75" x14ac:dyDescent="0.3">
      <c r="A1" s="202" t="s">
        <v>98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ht="18.75" x14ac:dyDescent="0.3">
      <c r="A2" s="202" t="s">
        <v>99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3" ht="18.75" x14ac:dyDescent="0.3">
      <c r="A3" s="202" t="s">
        <v>213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2" t="s">
        <v>100</v>
      </c>
      <c r="B6" s="272" t="s">
        <v>101</v>
      </c>
      <c r="C6" s="272" t="s">
        <v>102</v>
      </c>
      <c r="D6" s="272" t="s">
        <v>103</v>
      </c>
      <c r="E6" s="272"/>
      <c r="F6" s="272"/>
      <c r="G6" s="272"/>
      <c r="H6" s="272"/>
      <c r="I6" s="272"/>
      <c r="J6" s="272"/>
      <c r="K6" s="272"/>
      <c r="L6" s="272"/>
    </row>
    <row r="7" spans="1:13" x14ac:dyDescent="0.25">
      <c r="A7" s="272"/>
      <c r="B7" s="272"/>
      <c r="C7" s="272"/>
      <c r="D7" s="272" t="s">
        <v>104</v>
      </c>
      <c r="E7" s="272"/>
      <c r="F7" s="272"/>
      <c r="G7" s="272"/>
      <c r="H7" s="272"/>
      <c r="I7" s="272"/>
      <c r="J7" s="272"/>
      <c r="K7" s="272"/>
      <c r="L7" s="272"/>
    </row>
    <row r="8" spans="1:13" x14ac:dyDescent="0.25">
      <c r="A8" s="272"/>
      <c r="B8" s="272"/>
      <c r="C8" s="272"/>
      <c r="D8" s="272" t="s">
        <v>105</v>
      </c>
      <c r="E8" s="272"/>
      <c r="F8" s="272"/>
      <c r="G8" s="272" t="s">
        <v>4</v>
      </c>
      <c r="H8" s="272"/>
      <c r="I8" s="272"/>
      <c r="J8" s="272"/>
      <c r="K8" s="272"/>
      <c r="L8" s="272"/>
    </row>
    <row r="9" spans="1:13" ht="102" customHeight="1" x14ac:dyDescent="0.25">
      <c r="A9" s="272"/>
      <c r="B9" s="272"/>
      <c r="C9" s="272"/>
      <c r="D9" s="272"/>
      <c r="E9" s="272"/>
      <c r="F9" s="272"/>
      <c r="G9" s="273" t="s">
        <v>106</v>
      </c>
      <c r="H9" s="273"/>
      <c r="I9" s="273"/>
      <c r="J9" s="273" t="s">
        <v>107</v>
      </c>
      <c r="K9" s="273"/>
      <c r="L9" s="273"/>
    </row>
    <row r="10" spans="1:13" ht="118.5" customHeight="1" x14ac:dyDescent="0.25">
      <c r="A10" s="272"/>
      <c r="B10" s="272"/>
      <c r="C10" s="272"/>
      <c r="D10" s="102" t="s">
        <v>214</v>
      </c>
      <c r="E10" s="102" t="s">
        <v>215</v>
      </c>
      <c r="F10" s="102" t="s">
        <v>216</v>
      </c>
      <c r="G10" s="102" t="s">
        <v>214</v>
      </c>
      <c r="H10" s="102" t="s">
        <v>215</v>
      </c>
      <c r="I10" s="102" t="s">
        <v>216</v>
      </c>
      <c r="J10" s="102" t="s">
        <v>214</v>
      </c>
      <c r="K10" s="102" t="s">
        <v>215</v>
      </c>
      <c r="L10" s="102" t="s">
        <v>216</v>
      </c>
      <c r="M10" s="78" t="s">
        <v>148</v>
      </c>
    </row>
    <row r="11" spans="1:13" x14ac:dyDescent="0.25">
      <c r="A11" s="61">
        <v>1</v>
      </c>
      <c r="B11" s="61">
        <v>2</v>
      </c>
      <c r="C11" s="61">
        <v>3</v>
      </c>
      <c r="D11" s="102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108</v>
      </c>
      <c r="B12" s="62">
        <v>1</v>
      </c>
      <c r="C12" s="62" t="s">
        <v>109</v>
      </c>
      <c r="D12" s="84">
        <f>SUM(D14:D21)</f>
        <v>5514903.1099999994</v>
      </c>
      <c r="E12" s="84">
        <f>E14+E15+E16+E17+E18+E19+E20+E21</f>
        <v>3611837</v>
      </c>
      <c r="F12" s="84">
        <f>F14+F15+F16+F17+F18+F19+F20+F21</f>
        <v>3611837</v>
      </c>
      <c r="G12" s="84">
        <f>SUM(G14:G21)</f>
        <v>5514903.1099999994</v>
      </c>
      <c r="H12" s="84">
        <f>E12</f>
        <v>3611837</v>
      </c>
      <c r="I12" s="84">
        <f>F12</f>
        <v>3611837</v>
      </c>
      <c r="J12" s="84">
        <v>0</v>
      </c>
      <c r="K12" s="84">
        <v>0</v>
      </c>
      <c r="L12" s="84">
        <v>0</v>
      </c>
      <c r="M12" s="79"/>
    </row>
    <row r="13" spans="1:13" ht="72" customHeight="1" x14ac:dyDescent="0.25">
      <c r="A13" s="55" t="s">
        <v>110</v>
      </c>
      <c r="B13" s="62">
        <v>1001</v>
      </c>
      <c r="C13" s="62" t="s">
        <v>109</v>
      </c>
      <c r="D13" s="84"/>
      <c r="E13" s="84"/>
      <c r="F13" s="84"/>
      <c r="G13" s="84"/>
      <c r="H13" s="84"/>
      <c r="I13" s="84"/>
      <c r="J13" s="84"/>
      <c r="K13" s="84"/>
      <c r="L13" s="84"/>
      <c r="M13" s="86"/>
    </row>
    <row r="14" spans="1:13" s="30" customFormat="1" ht="23.25" customHeight="1" x14ac:dyDescent="0.25">
      <c r="A14" s="55" t="s">
        <v>139</v>
      </c>
      <c r="B14" s="62"/>
      <c r="C14" s="62"/>
      <c r="D14" s="84">
        <f>'3 с разбивкой утв'!BK88</f>
        <v>98739.78</v>
      </c>
      <c r="E14" s="84">
        <f>34000+44400</f>
        <v>78400</v>
      </c>
      <c r="F14" s="84">
        <f>34000+44400</f>
        <v>78400</v>
      </c>
      <c r="G14" s="84">
        <f t="shared" ref="G14:G21" si="0">D14</f>
        <v>98739.78</v>
      </c>
      <c r="H14" s="84">
        <f t="shared" ref="H14:I21" si="1">E14</f>
        <v>78400</v>
      </c>
      <c r="I14" s="84">
        <f t="shared" si="1"/>
        <v>78400</v>
      </c>
      <c r="J14" s="84">
        <v>0</v>
      </c>
      <c r="K14" s="84">
        <v>0</v>
      </c>
      <c r="L14" s="84">
        <v>0</v>
      </c>
      <c r="M14" s="86"/>
    </row>
    <row r="15" spans="1:13" s="30" customFormat="1" ht="36.75" customHeight="1" x14ac:dyDescent="0.25">
      <c r="A15" s="55" t="s">
        <v>147</v>
      </c>
      <c r="B15" s="62"/>
      <c r="C15" s="62"/>
      <c r="D15" s="84">
        <f>'3 с разбивкой утв'!BK89</f>
        <v>0</v>
      </c>
      <c r="E15" s="84">
        <v>0</v>
      </c>
      <c r="F15" s="84">
        <v>0</v>
      </c>
      <c r="G15" s="84">
        <f t="shared" si="0"/>
        <v>0</v>
      </c>
      <c r="H15" s="84">
        <f t="shared" si="1"/>
        <v>0</v>
      </c>
      <c r="I15" s="84">
        <f t="shared" si="1"/>
        <v>0</v>
      </c>
      <c r="J15" s="84">
        <v>0</v>
      </c>
      <c r="K15" s="84">
        <v>0</v>
      </c>
      <c r="L15" s="84">
        <v>0</v>
      </c>
      <c r="M15" s="86"/>
    </row>
    <row r="16" spans="1:13" s="30" customFormat="1" ht="36.75" customHeight="1" x14ac:dyDescent="0.25">
      <c r="A16" s="55" t="s">
        <v>140</v>
      </c>
      <c r="B16" s="62"/>
      <c r="C16" s="62"/>
      <c r="D16" s="84">
        <f>'3 с разбивкой утв'!BK90</f>
        <v>3009826.79</v>
      </c>
      <c r="E16" s="84">
        <f>135000+2047207</f>
        <v>2182207</v>
      </c>
      <c r="F16" s="84">
        <f>135000+2047207</f>
        <v>2182207</v>
      </c>
      <c r="G16" s="84">
        <f t="shared" si="0"/>
        <v>3009826.79</v>
      </c>
      <c r="H16" s="84">
        <f t="shared" si="1"/>
        <v>2182207</v>
      </c>
      <c r="I16" s="84">
        <f t="shared" si="1"/>
        <v>2182207</v>
      </c>
      <c r="J16" s="84">
        <v>0</v>
      </c>
      <c r="K16" s="84">
        <v>0</v>
      </c>
      <c r="L16" s="84">
        <v>0</v>
      </c>
      <c r="M16" s="86"/>
    </row>
    <row r="17" spans="1:13" s="30" customFormat="1" ht="39.75" customHeight="1" x14ac:dyDescent="0.25">
      <c r="A17" s="55" t="s">
        <v>141</v>
      </c>
      <c r="B17" s="62"/>
      <c r="C17" s="62"/>
      <c r="D17" s="84">
        <f>'3 с разбивкой утв'!BK91</f>
        <v>1042144.8200000001</v>
      </c>
      <c r="E17" s="84">
        <f>125000+302106</f>
        <v>427106</v>
      </c>
      <c r="F17" s="84">
        <f>125000+302106</f>
        <v>427106</v>
      </c>
      <c r="G17" s="84">
        <f t="shared" si="0"/>
        <v>1042144.8200000001</v>
      </c>
      <c r="H17" s="84">
        <f t="shared" si="1"/>
        <v>427106</v>
      </c>
      <c r="I17" s="84">
        <f t="shared" si="1"/>
        <v>427106</v>
      </c>
      <c r="J17" s="84">
        <v>0</v>
      </c>
      <c r="K17" s="84">
        <v>0</v>
      </c>
      <c r="L17" s="84">
        <v>0</v>
      </c>
      <c r="M17" s="86"/>
    </row>
    <row r="18" spans="1:13" s="30" customFormat="1" ht="37.5" customHeight="1" x14ac:dyDescent="0.25">
      <c r="A18" s="55" t="s">
        <v>142</v>
      </c>
      <c r="B18" s="62"/>
      <c r="C18" s="62"/>
      <c r="D18" s="84">
        <f>'3 с разбивкой утв'!BK92</f>
        <v>449780.10000000003</v>
      </c>
      <c r="E18" s="84">
        <f>159000+434944+23684</f>
        <v>617628</v>
      </c>
      <c r="F18" s="84">
        <f>159000+434944+23684</f>
        <v>617628</v>
      </c>
      <c r="G18" s="84">
        <f t="shared" si="0"/>
        <v>449780.10000000003</v>
      </c>
      <c r="H18" s="84">
        <f t="shared" si="1"/>
        <v>617628</v>
      </c>
      <c r="I18" s="84">
        <f t="shared" si="1"/>
        <v>617628</v>
      </c>
      <c r="J18" s="84">
        <v>0</v>
      </c>
      <c r="K18" s="84">
        <v>0</v>
      </c>
      <c r="L18" s="84">
        <v>0</v>
      </c>
      <c r="M18" s="86"/>
    </row>
    <row r="19" spans="1:13" s="30" customFormat="1" ht="24.75" customHeight="1" x14ac:dyDescent="0.25">
      <c r="A19" s="55" t="s">
        <v>143</v>
      </c>
      <c r="B19" s="62"/>
      <c r="C19" s="62"/>
      <c r="D19" s="84">
        <f>'3 с разбивкой утв'!BK93</f>
        <v>68976</v>
      </c>
      <c r="E19" s="84">
        <v>13696</v>
      </c>
      <c r="F19" s="84">
        <v>13696</v>
      </c>
      <c r="G19" s="84">
        <f t="shared" si="0"/>
        <v>68976</v>
      </c>
      <c r="H19" s="84">
        <f t="shared" si="1"/>
        <v>13696</v>
      </c>
      <c r="I19" s="84">
        <f t="shared" si="1"/>
        <v>13696</v>
      </c>
      <c r="J19" s="84">
        <v>0</v>
      </c>
      <c r="K19" s="84">
        <v>0</v>
      </c>
      <c r="L19" s="84">
        <v>0</v>
      </c>
      <c r="M19" s="86"/>
    </row>
    <row r="20" spans="1:13" s="30" customFormat="1" ht="34.5" customHeight="1" x14ac:dyDescent="0.25">
      <c r="A20" s="55" t="s">
        <v>144</v>
      </c>
      <c r="B20" s="62"/>
      <c r="C20" s="62"/>
      <c r="D20" s="84">
        <f>'3 с разбивкой утв'!BK94</f>
        <v>530362.43999999994</v>
      </c>
      <c r="E20" s="84">
        <f>50000</f>
        <v>50000</v>
      </c>
      <c r="F20" s="84">
        <f>50000</f>
        <v>50000</v>
      </c>
      <c r="G20" s="84">
        <f t="shared" si="0"/>
        <v>530362.43999999994</v>
      </c>
      <c r="H20" s="84">
        <f t="shared" si="1"/>
        <v>50000</v>
      </c>
      <c r="I20" s="84">
        <f t="shared" si="1"/>
        <v>50000</v>
      </c>
      <c r="J20" s="84">
        <v>0</v>
      </c>
      <c r="K20" s="84">
        <v>0</v>
      </c>
      <c r="L20" s="84">
        <v>0</v>
      </c>
      <c r="M20" s="86"/>
    </row>
    <row r="21" spans="1:13" ht="57" customHeight="1" x14ac:dyDescent="0.25">
      <c r="A21" s="55" t="s">
        <v>145</v>
      </c>
      <c r="B21" s="55"/>
      <c r="C21" s="55"/>
      <c r="D21" s="75">
        <f>'3 с разбивкой утв'!BK95</f>
        <v>315073.18</v>
      </c>
      <c r="E21" s="75">
        <f>86000+156800</f>
        <v>242800</v>
      </c>
      <c r="F21" s="75">
        <f>86000+156800</f>
        <v>242800</v>
      </c>
      <c r="G21" s="75">
        <f t="shared" si="0"/>
        <v>315073.18</v>
      </c>
      <c r="H21" s="75">
        <f t="shared" si="1"/>
        <v>242800</v>
      </c>
      <c r="I21" s="75">
        <f t="shared" si="1"/>
        <v>242800</v>
      </c>
      <c r="J21" s="75">
        <v>0</v>
      </c>
      <c r="K21" s="75">
        <v>0</v>
      </c>
      <c r="L21" s="75">
        <v>0</v>
      </c>
      <c r="M21" s="86"/>
    </row>
    <row r="22" spans="1:13" ht="33.75" customHeight="1" x14ac:dyDescent="0.25">
      <c r="A22" s="55" t="s">
        <v>111</v>
      </c>
      <c r="B22" s="62">
        <v>2001</v>
      </c>
      <c r="C22" s="55"/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1:13" x14ac:dyDescent="0.25">
      <c r="A23" s="55"/>
      <c r="B23" s="55"/>
      <c r="C23" s="55"/>
      <c r="D23" s="75"/>
      <c r="E23" s="75"/>
      <c r="F23" s="75"/>
      <c r="G23" s="75"/>
      <c r="H23" s="75"/>
      <c r="I23" s="75"/>
      <c r="J23" s="75"/>
      <c r="K23" s="75"/>
      <c r="L23" s="75"/>
    </row>
    <row r="24" spans="1:13" ht="18.75" customHeight="1" x14ac:dyDescent="0.3">
      <c r="A24" s="60"/>
      <c r="D24" s="87">
        <f>'3 с разбивкой утв'!BA58-'4'!D12</f>
        <v>0</v>
      </c>
      <c r="E24" s="89">
        <f>'3 (2)'!BA38-'4'!E12</f>
        <v>0</v>
      </c>
      <c r="F24" s="89">
        <f>'3 (3)'!BA38-'4'!F12</f>
        <v>0</v>
      </c>
    </row>
    <row r="25" spans="1:13" x14ac:dyDescent="0.25">
      <c r="E25" s="88"/>
      <c r="F25" s="88"/>
    </row>
    <row r="26" spans="1:13" x14ac:dyDescent="0.25">
      <c r="E26" s="88"/>
      <c r="F26" s="88"/>
    </row>
    <row r="27" spans="1:13" x14ac:dyDescent="0.25">
      <c r="E27" s="88"/>
      <c r="F27" s="88"/>
    </row>
    <row r="28" spans="1:13" x14ac:dyDescent="0.25">
      <c r="E28" s="88"/>
      <c r="F28" s="88"/>
    </row>
    <row r="29" spans="1:13" x14ac:dyDescent="0.25">
      <c r="E29" s="88"/>
      <c r="F29" s="88"/>
    </row>
    <row r="30" spans="1:13" x14ac:dyDescent="0.25">
      <c r="E30" s="88"/>
      <c r="F30" s="88"/>
    </row>
    <row r="31" spans="1:13" x14ac:dyDescent="0.25">
      <c r="E31" s="88"/>
      <c r="F31" s="88"/>
    </row>
    <row r="32" spans="1:13" x14ac:dyDescent="0.25">
      <c r="E32" s="88"/>
      <c r="F32" s="88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J35" sqref="J35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2" t="s">
        <v>112</v>
      </c>
      <c r="B1" s="202"/>
      <c r="C1" s="202"/>
    </row>
    <row r="2" spans="1:4" ht="18.75" x14ac:dyDescent="0.3">
      <c r="A2" s="202" t="s">
        <v>113</v>
      </c>
      <c r="B2" s="202"/>
      <c r="C2" s="202"/>
      <c r="D2" s="9" t="s">
        <v>149</v>
      </c>
    </row>
    <row r="3" spans="1:4" ht="18.75" x14ac:dyDescent="0.3">
      <c r="A3" s="202" t="s">
        <v>217</v>
      </c>
      <c r="B3" s="202"/>
      <c r="C3" s="202"/>
    </row>
    <row r="4" spans="1:4" ht="18.75" x14ac:dyDescent="0.3">
      <c r="A4" s="202" t="s">
        <v>114</v>
      </c>
      <c r="B4" s="202"/>
      <c r="C4" s="202"/>
    </row>
    <row r="5" spans="1:4" ht="18.75" x14ac:dyDescent="0.3">
      <c r="A5" s="60"/>
    </row>
    <row r="6" spans="1:4" ht="15.75" x14ac:dyDescent="0.2">
      <c r="A6" s="272" t="s">
        <v>0</v>
      </c>
      <c r="B6" s="272" t="s">
        <v>1</v>
      </c>
      <c r="C6" s="61" t="s">
        <v>115</v>
      </c>
    </row>
    <row r="7" spans="1:4" ht="50.25" customHeight="1" x14ac:dyDescent="0.2">
      <c r="A7" s="272"/>
      <c r="B7" s="272"/>
      <c r="C7" s="61" t="s">
        <v>116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5">
        <v>0</v>
      </c>
    </row>
    <row r="10" spans="1:4" ht="27" customHeight="1" x14ac:dyDescent="0.2">
      <c r="A10" s="55" t="s">
        <v>24</v>
      </c>
      <c r="B10" s="61">
        <v>20</v>
      </c>
      <c r="C10" s="75">
        <v>0</v>
      </c>
    </row>
    <row r="11" spans="1:4" ht="27" customHeight="1" x14ac:dyDescent="0.2">
      <c r="A11" s="55" t="s">
        <v>117</v>
      </c>
      <c r="B11" s="61">
        <v>30</v>
      </c>
      <c r="C11" s="75">
        <v>0</v>
      </c>
    </row>
    <row r="12" spans="1:4" ht="27" customHeight="1" x14ac:dyDescent="0.2">
      <c r="A12" s="55"/>
      <c r="B12" s="55"/>
      <c r="C12" s="75"/>
    </row>
    <row r="13" spans="1:4" ht="27" customHeight="1" x14ac:dyDescent="0.2">
      <c r="A13" s="55" t="s">
        <v>118</v>
      </c>
      <c r="B13" s="61">
        <v>40</v>
      </c>
      <c r="C13" s="75">
        <v>0</v>
      </c>
    </row>
    <row r="14" spans="1:4" ht="15.75" x14ac:dyDescent="0.2">
      <c r="A14" s="55"/>
      <c r="B14" s="55"/>
      <c r="C14" s="75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2" t="s">
        <v>119</v>
      </c>
      <c r="B18" s="202"/>
      <c r="C18" s="202"/>
    </row>
    <row r="19" spans="1:3" ht="12.75" customHeight="1" x14ac:dyDescent="0.3">
      <c r="A19" s="52"/>
    </row>
    <row r="20" spans="1:3" ht="30.75" customHeight="1" x14ac:dyDescent="0.2">
      <c r="A20" s="272" t="s">
        <v>0</v>
      </c>
      <c r="B20" s="272" t="s">
        <v>1</v>
      </c>
      <c r="C20" s="61" t="s">
        <v>120</v>
      </c>
    </row>
    <row r="21" spans="1:3" ht="15.75" x14ac:dyDescent="0.2">
      <c r="A21" s="272"/>
      <c r="B21" s="272"/>
      <c r="C21" s="61" t="s">
        <v>121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122</v>
      </c>
      <c r="B23" s="61">
        <v>10</v>
      </c>
      <c r="C23" s="75">
        <v>0</v>
      </c>
    </row>
    <row r="24" spans="1:3" ht="90" customHeight="1" x14ac:dyDescent="0.2">
      <c r="A24" s="70" t="s">
        <v>123</v>
      </c>
      <c r="B24" s="61">
        <v>20</v>
      </c>
      <c r="C24" s="75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125</v>
      </c>
    </row>
    <row r="27" spans="1:3" s="65" customFormat="1" ht="19.5" customHeight="1" x14ac:dyDescent="0.2">
      <c r="A27" s="67" t="s">
        <v>124</v>
      </c>
    </row>
    <row r="28" spans="1:3" s="65" customFormat="1" ht="15.75" x14ac:dyDescent="0.2">
      <c r="A28" s="66" t="s">
        <v>126</v>
      </c>
      <c r="B28" s="77" t="s">
        <v>135</v>
      </c>
      <c r="C28" s="77" t="s">
        <v>135</v>
      </c>
    </row>
    <row r="29" spans="1:3" s="65" customFormat="1" ht="21" customHeight="1" x14ac:dyDescent="0.2">
      <c r="A29" s="66"/>
      <c r="B29" s="66" t="s">
        <v>127</v>
      </c>
      <c r="C29" s="66" t="s">
        <v>128</v>
      </c>
    </row>
    <row r="30" spans="1:3" s="65" customFormat="1" ht="10.5" customHeight="1" x14ac:dyDescent="0.2">
      <c r="A30" s="66"/>
    </row>
    <row r="31" spans="1:3" ht="15.75" x14ac:dyDescent="0.25">
      <c r="A31" s="64" t="s">
        <v>203</v>
      </c>
      <c r="B31" s="69"/>
      <c r="C31" s="76" t="s">
        <v>204</v>
      </c>
    </row>
    <row r="32" spans="1:3" ht="16.5" customHeight="1" x14ac:dyDescent="0.25">
      <c r="A32" s="64"/>
      <c r="B32" s="66" t="s">
        <v>127</v>
      </c>
      <c r="C32" s="66" t="s">
        <v>128</v>
      </c>
    </row>
    <row r="33" spans="1:3" ht="15.75" x14ac:dyDescent="0.25">
      <c r="A33" s="64"/>
    </row>
    <row r="34" spans="1:3" ht="15.75" x14ac:dyDescent="0.25">
      <c r="A34" s="64" t="s">
        <v>129</v>
      </c>
      <c r="B34" s="69"/>
      <c r="C34" s="76" t="s">
        <v>204</v>
      </c>
    </row>
    <row r="35" spans="1:3" ht="18.75" customHeight="1" x14ac:dyDescent="0.25">
      <c r="A35" s="64" t="s">
        <v>207</v>
      </c>
      <c r="B35" s="66" t="s">
        <v>127</v>
      </c>
      <c r="C35" s="66" t="s">
        <v>128</v>
      </c>
    </row>
    <row r="36" spans="1:3" ht="15.75" x14ac:dyDescent="0.25">
      <c r="A36" s="64"/>
    </row>
    <row r="37" spans="1:3" ht="26.25" customHeight="1" x14ac:dyDescent="0.25">
      <c r="A37" s="64" t="s">
        <v>187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zoomScale="84" zoomScaleNormal="84" zoomScaleSheetLayoutView="100" workbookViewId="0">
      <selection sqref="A1:XFD1048576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1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21" customHeight="1" x14ac:dyDescent="0.2">
      <c r="A2" s="235" t="s">
        <v>211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</row>
    <row r="3" spans="1:63" ht="12.75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"/>
      <c r="BD3" s="1"/>
      <c r="BE3" s="1"/>
      <c r="BF3" s="1"/>
    </row>
    <row r="4" spans="1:63" ht="12.75" customHeight="1" x14ac:dyDescent="0.2">
      <c r="A4" s="242" t="s">
        <v>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4"/>
      <c r="AY4" s="251" t="s">
        <v>1</v>
      </c>
      <c r="AZ4" s="254" t="s">
        <v>2</v>
      </c>
      <c r="BA4" s="236" t="s">
        <v>3</v>
      </c>
      <c r="BB4" s="237"/>
      <c r="BC4" s="237"/>
      <c r="BD4" s="237"/>
      <c r="BE4" s="237"/>
      <c r="BF4" s="237"/>
    </row>
    <row r="5" spans="1:63" ht="12.75" customHeight="1" x14ac:dyDescent="0.2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7"/>
      <c r="AY5" s="252"/>
      <c r="AZ5" s="240"/>
      <c r="BA5" s="240" t="s">
        <v>26</v>
      </c>
      <c r="BB5" s="253" t="s">
        <v>4</v>
      </c>
      <c r="BC5" s="253"/>
      <c r="BD5" s="253"/>
      <c r="BE5" s="253"/>
      <c r="BF5" s="253"/>
    </row>
    <row r="6" spans="1:63" ht="61.5" customHeight="1" x14ac:dyDescent="0.2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7"/>
      <c r="AY6" s="252"/>
      <c r="AZ6" s="240"/>
      <c r="BA6" s="240"/>
      <c r="BB6" s="239" t="s">
        <v>5</v>
      </c>
      <c r="BC6" s="239" t="s">
        <v>6</v>
      </c>
      <c r="BD6" s="239" t="s">
        <v>7</v>
      </c>
      <c r="BE6" s="239" t="s">
        <v>8</v>
      </c>
      <c r="BF6" s="239"/>
    </row>
    <row r="7" spans="1:63" ht="30" customHeight="1" x14ac:dyDescent="0.2">
      <c r="A7" s="248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50"/>
      <c r="AY7" s="253"/>
      <c r="AZ7" s="241"/>
      <c r="BA7" s="241"/>
      <c r="BB7" s="239"/>
      <c r="BC7" s="239"/>
      <c r="BD7" s="239"/>
      <c r="BE7" s="154" t="s">
        <v>9</v>
      </c>
      <c r="BF7" s="135" t="s">
        <v>10</v>
      </c>
      <c r="BG7" s="119">
        <f>BA9+BA118-BA30</f>
        <v>0</v>
      </c>
      <c r="BK7" s="9" t="s">
        <v>136</v>
      </c>
    </row>
    <row r="8" spans="1:63" ht="11.1" customHeight="1" x14ac:dyDescent="0.2">
      <c r="A8" s="236">
        <v>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8"/>
      <c r="AY8" s="2">
        <v>2</v>
      </c>
      <c r="AZ8" s="71">
        <v>3</v>
      </c>
      <c r="BA8" s="71">
        <v>4</v>
      </c>
      <c r="BB8" s="136">
        <v>5</v>
      </c>
      <c r="BC8" s="136">
        <v>6</v>
      </c>
      <c r="BD8" s="136">
        <v>7</v>
      </c>
      <c r="BE8" s="154">
        <v>8</v>
      </c>
      <c r="BF8" s="135">
        <v>9</v>
      </c>
    </row>
    <row r="9" spans="1:63" ht="23.25" customHeight="1" x14ac:dyDescent="0.2">
      <c r="A9" s="3"/>
      <c r="B9" s="255" t="s">
        <v>27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6"/>
      <c r="AY9" s="11">
        <v>100</v>
      </c>
      <c r="AZ9" s="72" t="s">
        <v>28</v>
      </c>
      <c r="BA9" s="143">
        <f>BA10+BA12+BA18+BA19+BA20+BA25+BA28+BA17</f>
        <v>22394405.609999999</v>
      </c>
      <c r="BB9" s="143">
        <f>BB12</f>
        <v>18929880</v>
      </c>
      <c r="BC9" s="143">
        <f>BC20</f>
        <v>1414481.6099999999</v>
      </c>
      <c r="BD9" s="143">
        <f>BD20</f>
        <v>0</v>
      </c>
      <c r="BE9" s="143">
        <f>BE10+BE12+BE18+BE19+BE25+BE28+BE17</f>
        <v>2050044</v>
      </c>
      <c r="BF9" s="143">
        <f>BF12+BF25</f>
        <v>0</v>
      </c>
      <c r="BG9" s="103"/>
    </row>
    <row r="10" spans="1:63" ht="29.25" customHeight="1" x14ac:dyDescent="0.2">
      <c r="A10" s="5"/>
      <c r="B10" s="217" t="s">
        <v>52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8">
        <v>110</v>
      </c>
      <c r="AZ10" s="72" t="s">
        <v>229</v>
      </c>
      <c r="BA10" s="144">
        <f>BE10</f>
        <v>130266.00000000001</v>
      </c>
      <c r="BB10" s="145" t="s">
        <v>28</v>
      </c>
      <c r="BC10" s="145" t="s">
        <v>28</v>
      </c>
      <c r="BD10" s="145" t="s">
        <v>28</v>
      </c>
      <c r="BE10" s="145">
        <f>162000-5680.8-26053.2</f>
        <v>130266.00000000001</v>
      </c>
      <c r="BF10" s="145" t="s">
        <v>28</v>
      </c>
      <c r="BG10" s="81" t="s">
        <v>159</v>
      </c>
    </row>
    <row r="11" spans="1:63" ht="13.5" customHeight="1" x14ac:dyDescent="0.2">
      <c r="A11" s="5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8"/>
      <c r="AY11" s="8"/>
      <c r="AZ11" s="72"/>
      <c r="BA11" s="144"/>
      <c r="BB11" s="145"/>
      <c r="BC11" s="145"/>
      <c r="BD11" s="145"/>
      <c r="BE11" s="145"/>
      <c r="BF11" s="145"/>
    </row>
    <row r="12" spans="1:63" ht="12.75" x14ac:dyDescent="0.2">
      <c r="A12" s="5"/>
      <c r="B12" s="217" t="s">
        <v>32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8">
        <v>120</v>
      </c>
      <c r="AZ12" s="72" t="s">
        <v>230</v>
      </c>
      <c r="BA12" s="144">
        <f>BB12+BE12+BF12</f>
        <v>20272848</v>
      </c>
      <c r="BB12" s="145">
        <f>SUM(BB13:BB16)</f>
        <v>18929880</v>
      </c>
      <c r="BC12" s="145" t="s">
        <v>28</v>
      </c>
      <c r="BD12" s="145" t="s">
        <v>28</v>
      </c>
      <c r="BE12" s="145">
        <f>SUM(BE13:BE16)</f>
        <v>1342968</v>
      </c>
      <c r="BF12" s="145">
        <v>0</v>
      </c>
      <c r="BG12" s="81" t="s">
        <v>36</v>
      </c>
    </row>
    <row r="13" spans="1:63" s="91" customFormat="1" ht="72.75" customHeight="1" x14ac:dyDescent="0.2">
      <c r="A13" s="209" t="s">
        <v>153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1"/>
      <c r="AY13" s="104"/>
      <c r="AZ13" s="105" t="s">
        <v>155</v>
      </c>
      <c r="BA13" s="146"/>
      <c r="BB13" s="146">
        <f>16907880+358000</f>
        <v>17265880</v>
      </c>
      <c r="BC13" s="146"/>
      <c r="BD13" s="146"/>
      <c r="BE13" s="146"/>
      <c r="BF13" s="146"/>
      <c r="BG13" s="208" t="s">
        <v>152</v>
      </c>
    </row>
    <row r="14" spans="1:63" s="91" customFormat="1" ht="66.75" customHeight="1" x14ac:dyDescent="0.2">
      <c r="A14" s="209" t="s">
        <v>154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1"/>
      <c r="AY14" s="104"/>
      <c r="AZ14" s="105" t="s">
        <v>156</v>
      </c>
      <c r="BA14" s="146"/>
      <c r="BB14" s="146">
        <f>1664000</f>
        <v>1664000</v>
      </c>
      <c r="BC14" s="146"/>
      <c r="BD14" s="146"/>
      <c r="BE14" s="146"/>
      <c r="BF14" s="146"/>
      <c r="BG14" s="208"/>
    </row>
    <row r="15" spans="1:63" s="91" customFormat="1" ht="16.5" customHeight="1" x14ac:dyDescent="0.2">
      <c r="A15" s="257" t="s">
        <v>224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9"/>
      <c r="AY15" s="104"/>
      <c r="AZ15" s="105" t="s">
        <v>155</v>
      </c>
      <c r="BA15" s="146"/>
      <c r="BB15" s="146"/>
      <c r="BC15" s="146"/>
      <c r="BD15" s="146"/>
      <c r="BE15" s="146"/>
      <c r="BF15" s="146"/>
      <c r="BG15" s="208"/>
    </row>
    <row r="16" spans="1:63" s="91" customFormat="1" ht="71.25" customHeight="1" x14ac:dyDescent="0.2">
      <c r="A16" s="209" t="s">
        <v>158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1"/>
      <c r="AY16" s="104"/>
      <c r="AZ16" s="105" t="s">
        <v>157</v>
      </c>
      <c r="BA16" s="146"/>
      <c r="BB16" s="146"/>
      <c r="BC16" s="146"/>
      <c r="BD16" s="146"/>
      <c r="BE16" s="146">
        <f>700000+100000+100000+100000+292950+50018</f>
        <v>1342968</v>
      </c>
      <c r="BF16" s="146"/>
      <c r="BG16" s="208"/>
    </row>
    <row r="17" spans="1:59" s="129" customFormat="1" ht="30" customHeight="1" x14ac:dyDescent="0.2">
      <c r="A17" s="225" t="s">
        <v>234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161">
        <v>130</v>
      </c>
      <c r="AZ17" s="72" t="s">
        <v>236</v>
      </c>
      <c r="BA17" s="144">
        <f>BE17</f>
        <v>100360</v>
      </c>
      <c r="BB17" s="147"/>
      <c r="BC17" s="147"/>
      <c r="BD17" s="147"/>
      <c r="BE17" s="147">
        <f>100000+360</f>
        <v>100360</v>
      </c>
      <c r="BF17" s="147"/>
      <c r="BG17" s="162"/>
    </row>
    <row r="18" spans="1:59" ht="30" customHeight="1" x14ac:dyDescent="0.2">
      <c r="A18" s="5"/>
      <c r="B18" s="217" t="s">
        <v>31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8">
        <v>140</v>
      </c>
      <c r="AZ18" s="72" t="s">
        <v>231</v>
      </c>
      <c r="BA18" s="144">
        <f>BE18</f>
        <v>60000</v>
      </c>
      <c r="BB18" s="145" t="s">
        <v>28</v>
      </c>
      <c r="BC18" s="145" t="s">
        <v>28</v>
      </c>
      <c r="BD18" s="145" t="s">
        <v>28</v>
      </c>
      <c r="BE18" s="147">
        <f>60000</f>
        <v>60000</v>
      </c>
      <c r="BF18" s="145" t="s">
        <v>28</v>
      </c>
      <c r="BG18" s="81" t="s">
        <v>197</v>
      </c>
    </row>
    <row r="19" spans="1:59" ht="12.75" x14ac:dyDescent="0.2">
      <c r="A19" s="5"/>
      <c r="B19" s="217" t="s">
        <v>30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8">
        <v>150</v>
      </c>
      <c r="AZ19" s="72" t="s">
        <v>37</v>
      </c>
      <c r="BA19" s="144">
        <f>BE19</f>
        <v>0</v>
      </c>
      <c r="BB19" s="145" t="s">
        <v>28</v>
      </c>
      <c r="BC19" s="145" t="s">
        <v>28</v>
      </c>
      <c r="BD19" s="145" t="s">
        <v>28</v>
      </c>
      <c r="BE19" s="145">
        <v>0</v>
      </c>
      <c r="BF19" s="145" t="s">
        <v>28</v>
      </c>
    </row>
    <row r="20" spans="1:59" ht="27" customHeight="1" x14ac:dyDescent="0.2">
      <c r="A20" s="5"/>
      <c r="B20" s="217" t="s">
        <v>33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8">
        <v>160</v>
      </c>
      <c r="AZ20" s="72" t="s">
        <v>232</v>
      </c>
      <c r="BA20" s="144">
        <f>BC20+BD20</f>
        <v>1414481.6099999999</v>
      </c>
      <c r="BB20" s="145" t="s">
        <v>28</v>
      </c>
      <c r="BC20" s="145">
        <f>SUM(BC21:BC24)</f>
        <v>1414481.6099999999</v>
      </c>
      <c r="BD20" s="145">
        <v>0</v>
      </c>
      <c r="BE20" s="145" t="s">
        <v>28</v>
      </c>
      <c r="BF20" s="145" t="s">
        <v>28</v>
      </c>
      <c r="BG20" s="81" t="s">
        <v>38</v>
      </c>
    </row>
    <row r="21" spans="1:59" s="91" customFormat="1" ht="12.75" x14ac:dyDescent="0.2">
      <c r="A21" s="209" t="s">
        <v>175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1"/>
      <c r="AY21" s="104"/>
      <c r="AZ21" s="105" t="s">
        <v>176</v>
      </c>
      <c r="BA21" s="146"/>
      <c r="BB21" s="146"/>
      <c r="BC21" s="146">
        <f>15000+2482-375-3005.39</f>
        <v>14101.61</v>
      </c>
      <c r="BD21" s="146"/>
      <c r="BE21" s="146"/>
      <c r="BF21" s="146"/>
      <c r="BG21" s="81"/>
    </row>
    <row r="22" spans="1:59" s="91" customFormat="1" ht="12.75" x14ac:dyDescent="0.2">
      <c r="A22" s="209" t="s">
        <v>192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1"/>
      <c r="AY22" s="104"/>
      <c r="AZ22" s="105" t="s">
        <v>191</v>
      </c>
      <c r="BA22" s="146"/>
      <c r="BB22" s="146"/>
      <c r="BC22" s="146">
        <f>37380</f>
        <v>37380</v>
      </c>
      <c r="BD22" s="146"/>
      <c r="BE22" s="146"/>
      <c r="BF22" s="146"/>
      <c r="BG22" s="81"/>
    </row>
    <row r="23" spans="1:59" s="91" customFormat="1" ht="12.75" x14ac:dyDescent="0.2">
      <c r="A23" s="209" t="s">
        <v>223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1"/>
      <c r="AY23" s="104"/>
      <c r="AZ23" s="105" t="s">
        <v>238</v>
      </c>
      <c r="BA23" s="146"/>
      <c r="BB23" s="146"/>
      <c r="BC23" s="146">
        <f>100000</f>
        <v>100000</v>
      </c>
      <c r="BD23" s="146"/>
      <c r="BE23" s="146"/>
      <c r="BF23" s="146"/>
      <c r="BG23" s="81"/>
    </row>
    <row r="24" spans="1:59" s="91" customFormat="1" ht="12.75" x14ac:dyDescent="0.2">
      <c r="A24" s="209" t="s">
        <v>240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104"/>
      <c r="AZ24" s="105" t="s">
        <v>239</v>
      </c>
      <c r="BA24" s="146"/>
      <c r="BB24" s="146"/>
      <c r="BC24" s="146">
        <v>1263000</v>
      </c>
      <c r="BD24" s="146"/>
      <c r="BE24" s="146"/>
      <c r="BF24" s="146"/>
      <c r="BG24" s="81"/>
    </row>
    <row r="25" spans="1:59" ht="12.75" x14ac:dyDescent="0.2">
      <c r="A25" s="5"/>
      <c r="B25" s="217" t="s">
        <v>34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8"/>
      <c r="AY25" s="8">
        <v>170</v>
      </c>
      <c r="AZ25" s="72" t="s">
        <v>233</v>
      </c>
      <c r="BA25" s="144">
        <f>BE25</f>
        <v>416450</v>
      </c>
      <c r="BB25" s="145" t="s">
        <v>28</v>
      </c>
      <c r="BC25" s="145" t="s">
        <v>28</v>
      </c>
      <c r="BD25" s="145" t="s">
        <v>28</v>
      </c>
      <c r="BE25" s="145">
        <f>SUM(BE26:BE27)</f>
        <v>416450</v>
      </c>
      <c r="BF25" s="145">
        <v>0</v>
      </c>
      <c r="BG25" s="81" t="s">
        <v>208</v>
      </c>
    </row>
    <row r="26" spans="1:59" s="91" customFormat="1" ht="12.75" x14ac:dyDescent="0.2">
      <c r="A26" s="209" t="s">
        <v>249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1"/>
      <c r="AY26" s="104"/>
      <c r="AZ26" s="105" t="s">
        <v>250</v>
      </c>
      <c r="BA26" s="146"/>
      <c r="BB26" s="146"/>
      <c r="BC26" s="146"/>
      <c r="BD26" s="146"/>
      <c r="BE26" s="146">
        <f>386000+30450</f>
        <v>416450</v>
      </c>
      <c r="BF26" s="146"/>
      <c r="BG26" s="81"/>
    </row>
    <row r="27" spans="1:59" s="91" customFormat="1" ht="27" customHeight="1" x14ac:dyDescent="0.2">
      <c r="A27" s="209" t="s">
        <v>206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1"/>
      <c r="AY27" s="104"/>
      <c r="AZ27" s="105" t="s">
        <v>205</v>
      </c>
      <c r="BA27" s="146"/>
      <c r="BB27" s="146"/>
      <c r="BC27" s="146"/>
      <c r="BD27" s="146"/>
      <c r="BE27" s="146"/>
      <c r="BF27" s="146"/>
      <c r="BG27" s="81"/>
    </row>
    <row r="28" spans="1:59" ht="12.75" x14ac:dyDescent="0.2">
      <c r="A28" s="5"/>
      <c r="B28" s="217" t="s">
        <v>35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8"/>
      <c r="AY28" s="8">
        <v>180</v>
      </c>
      <c r="AZ28" s="72" t="s">
        <v>53</v>
      </c>
      <c r="BA28" s="144">
        <f>BE28</f>
        <v>0</v>
      </c>
      <c r="BB28" s="145" t="s">
        <v>28</v>
      </c>
      <c r="BC28" s="145" t="s">
        <v>28</v>
      </c>
      <c r="BD28" s="145" t="s">
        <v>28</v>
      </c>
      <c r="BE28" s="145">
        <v>0</v>
      </c>
      <c r="BF28" s="145">
        <v>0</v>
      </c>
    </row>
    <row r="29" spans="1:59" ht="12.75" x14ac:dyDescent="0.2">
      <c r="A29" s="10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8"/>
      <c r="AZ29" s="72"/>
      <c r="BA29" s="144"/>
      <c r="BB29" s="145"/>
      <c r="BC29" s="145"/>
      <c r="BD29" s="145"/>
      <c r="BE29" s="145"/>
      <c r="BF29" s="145"/>
    </row>
    <row r="30" spans="1:59" ht="12.75" x14ac:dyDescent="0.2">
      <c r="A30" s="3"/>
      <c r="B30" s="255" t="s">
        <v>39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6"/>
      <c r="AY30" s="11">
        <v>200</v>
      </c>
      <c r="AZ30" s="72" t="s">
        <v>28</v>
      </c>
      <c r="BA30" s="143">
        <f t="shared" ref="BA30:BF30" si="0">BA31+BA43+BA46+BA55+BA57+BA58</f>
        <v>23143352.280000001</v>
      </c>
      <c r="BB30" s="143">
        <f t="shared" si="0"/>
        <v>19545984.52</v>
      </c>
      <c r="BC30" s="143">
        <f t="shared" si="0"/>
        <v>1414481.61</v>
      </c>
      <c r="BD30" s="143">
        <f t="shared" si="0"/>
        <v>0</v>
      </c>
      <c r="BE30" s="143">
        <f t="shared" si="0"/>
        <v>2182886.15</v>
      </c>
      <c r="BF30" s="143">
        <f t="shared" si="0"/>
        <v>0</v>
      </c>
      <c r="BG30" s="106"/>
    </row>
    <row r="31" spans="1:59" ht="12.75" x14ac:dyDescent="0.2">
      <c r="A31" s="5"/>
      <c r="B31" s="220" t="s">
        <v>40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1"/>
      <c r="AY31" s="12">
        <v>210</v>
      </c>
      <c r="AZ31" s="72"/>
      <c r="BA31" s="144">
        <f t="shared" ref="BA31:BF31" si="1">BA32+BA39+BA42</f>
        <v>17185172.91</v>
      </c>
      <c r="BB31" s="148">
        <f t="shared" si="1"/>
        <v>16177654.139999999</v>
      </c>
      <c r="BC31" s="148">
        <f t="shared" si="1"/>
        <v>14101.61</v>
      </c>
      <c r="BD31" s="148">
        <f t="shared" si="1"/>
        <v>0</v>
      </c>
      <c r="BE31" s="148">
        <f t="shared" si="1"/>
        <v>993417.16</v>
      </c>
      <c r="BF31" s="148">
        <f t="shared" si="1"/>
        <v>0</v>
      </c>
    </row>
    <row r="32" spans="1:59" ht="12.75" x14ac:dyDescent="0.2">
      <c r="A32" s="5"/>
      <c r="B32" s="220" t="s">
        <v>41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12">
        <v>211</v>
      </c>
      <c r="AZ32" s="72"/>
      <c r="BA32" s="144">
        <f>BA33+BA36</f>
        <v>16888650.620000001</v>
      </c>
      <c r="BB32" s="148">
        <f t="shared" ref="BB32:BF32" si="2">BB33+BB36</f>
        <v>15895654.139999999</v>
      </c>
      <c r="BC32" s="148">
        <f t="shared" si="2"/>
        <v>0</v>
      </c>
      <c r="BD32" s="148">
        <f t="shared" si="2"/>
        <v>0</v>
      </c>
      <c r="BE32" s="148">
        <f>BE33+BE36</f>
        <v>992996.48</v>
      </c>
      <c r="BF32" s="148">
        <f t="shared" si="2"/>
        <v>0</v>
      </c>
    </row>
    <row r="33" spans="1:59" ht="12.75" x14ac:dyDescent="0.2">
      <c r="A33" s="6"/>
      <c r="B33" s="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8"/>
      <c r="AZ33" s="72" t="s">
        <v>15</v>
      </c>
      <c r="BA33" s="144">
        <f>BB33+BC33+BD33+BE33</f>
        <v>13038042.34</v>
      </c>
      <c r="BB33" s="145">
        <f>BB34+BB35</f>
        <v>12274321.859999999</v>
      </c>
      <c r="BC33" s="145">
        <v>0</v>
      </c>
      <c r="BD33" s="145">
        <v>0</v>
      </c>
      <c r="BE33" s="145">
        <f>324000+37977.35+34700+46000+34700+225000+61343.13</f>
        <v>763720.48</v>
      </c>
      <c r="BF33" s="145">
        <v>0</v>
      </c>
      <c r="BG33" s="81" t="s">
        <v>162</v>
      </c>
    </row>
    <row r="34" spans="1:59" s="91" customFormat="1" ht="17.25" customHeight="1" x14ac:dyDescent="0.2">
      <c r="A34" s="141"/>
      <c r="B34" s="142"/>
      <c r="C34" s="210" t="s">
        <v>189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1"/>
      <c r="AY34" s="104"/>
      <c r="AZ34" s="105"/>
      <c r="BA34" s="146"/>
      <c r="BB34" s="146">
        <f>11621511+276000</f>
        <v>11897511</v>
      </c>
      <c r="BC34" s="146"/>
      <c r="BD34" s="146"/>
      <c r="BE34" s="146"/>
      <c r="BF34" s="146"/>
      <c r="BG34" s="109"/>
    </row>
    <row r="35" spans="1:59" s="91" customFormat="1" ht="12.75" x14ac:dyDescent="0.2">
      <c r="A35" s="141"/>
      <c r="B35" s="142"/>
      <c r="C35" s="210" t="s">
        <v>190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1"/>
      <c r="AY35" s="104"/>
      <c r="AZ35" s="105"/>
      <c r="BA35" s="146"/>
      <c r="BB35" s="146">
        <v>376810.86</v>
      </c>
      <c r="BC35" s="146"/>
      <c r="BD35" s="146"/>
      <c r="BE35" s="146"/>
      <c r="BF35" s="146"/>
      <c r="BG35" s="109"/>
    </row>
    <row r="36" spans="1:59" ht="12.75" x14ac:dyDescent="0.2">
      <c r="A36" s="130"/>
      <c r="B36" s="13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8"/>
      <c r="AZ36" s="72" t="s">
        <v>16</v>
      </c>
      <c r="BA36" s="144">
        <f>BB36+BC36+BD36+BE36</f>
        <v>3850608.28</v>
      </c>
      <c r="BB36" s="145">
        <f>BB37+BB38</f>
        <v>3621332.28</v>
      </c>
      <c r="BC36" s="145">
        <v>0</v>
      </c>
      <c r="BD36" s="145">
        <v>0</v>
      </c>
      <c r="BE36" s="145">
        <f>96000+11852.33+10516.38+14000+10425.32+67950+18531.97</f>
        <v>229276.00000000003</v>
      </c>
      <c r="BF36" s="145">
        <v>0</v>
      </c>
      <c r="BG36" s="81" t="s">
        <v>161</v>
      </c>
    </row>
    <row r="37" spans="1:59" s="91" customFormat="1" ht="12.75" customHeight="1" x14ac:dyDescent="0.2">
      <c r="A37" s="138"/>
      <c r="B37" s="228" t="s">
        <v>189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9"/>
      <c r="AY37" s="104"/>
      <c r="AZ37" s="105"/>
      <c r="BA37" s="146"/>
      <c r="BB37" s="146">
        <f>3428172+82000</f>
        <v>3510172</v>
      </c>
      <c r="BC37" s="146"/>
      <c r="BD37" s="146"/>
      <c r="BE37" s="146"/>
      <c r="BF37" s="146"/>
      <c r="BG37" s="109"/>
    </row>
    <row r="38" spans="1:59" s="91" customFormat="1" ht="12.75" customHeight="1" x14ac:dyDescent="0.2">
      <c r="A38" s="138"/>
      <c r="B38" s="228" t="s">
        <v>190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9"/>
      <c r="AY38" s="104"/>
      <c r="AZ38" s="105"/>
      <c r="BA38" s="146"/>
      <c r="BB38" s="146">
        <v>111160.28</v>
      </c>
      <c r="BC38" s="146"/>
      <c r="BD38" s="146"/>
      <c r="BE38" s="146"/>
      <c r="BF38" s="146"/>
      <c r="BG38" s="109"/>
    </row>
    <row r="39" spans="1:59" ht="12.75" x14ac:dyDescent="0.2">
      <c r="A39" s="130"/>
      <c r="B39" s="13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8"/>
      <c r="AY39" s="8"/>
      <c r="AZ39" s="72" t="s">
        <v>14</v>
      </c>
      <c r="BA39" s="144">
        <f>BB39+BC39+BD39+BE39</f>
        <v>67003.360000000015</v>
      </c>
      <c r="BB39" s="145">
        <f>57700-13500+80000-71718.93</f>
        <v>52481.070000000007</v>
      </c>
      <c r="BC39" s="145">
        <f>17482-375-3005.39</f>
        <v>14101.61</v>
      </c>
      <c r="BD39" s="145">
        <v>0</v>
      </c>
      <c r="BE39" s="145">
        <f>SUM(BE40:BE41)</f>
        <v>420.68000000000029</v>
      </c>
      <c r="BF39" s="145">
        <v>0</v>
      </c>
      <c r="BG39" s="81" t="s">
        <v>160</v>
      </c>
    </row>
    <row r="40" spans="1:59" s="91" customFormat="1" ht="12.75" x14ac:dyDescent="0.2">
      <c r="A40" s="138"/>
      <c r="B40" s="139"/>
      <c r="C40" s="210" t="s">
        <v>222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1"/>
      <c r="AY40" s="104"/>
      <c r="AZ40" s="105"/>
      <c r="BA40" s="146"/>
      <c r="BB40" s="146"/>
      <c r="BC40" s="146"/>
      <c r="BD40" s="146"/>
      <c r="BE40" s="146">
        <f>8000-7990.32</f>
        <v>9.680000000000291</v>
      </c>
      <c r="BF40" s="146"/>
      <c r="BG40" s="109"/>
    </row>
    <row r="41" spans="1:59" s="91" customFormat="1" ht="25.5" customHeight="1" x14ac:dyDescent="0.2">
      <c r="A41" s="138"/>
      <c r="B41" s="139"/>
      <c r="C41" s="210" t="s">
        <v>237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1"/>
      <c r="AY41" s="104"/>
      <c r="AZ41" s="105"/>
      <c r="BA41" s="146"/>
      <c r="BB41" s="146"/>
      <c r="BC41" s="146"/>
      <c r="BD41" s="146"/>
      <c r="BE41" s="146">
        <v>411</v>
      </c>
      <c r="BF41" s="146"/>
      <c r="BG41" s="109"/>
    </row>
    <row r="42" spans="1:59" ht="12.75" x14ac:dyDescent="0.2">
      <c r="A42" s="130"/>
      <c r="B42" s="13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8"/>
      <c r="AY42" s="8"/>
      <c r="AZ42" s="72" t="s">
        <v>20</v>
      </c>
      <c r="BA42" s="144">
        <f>BB42+BC42+BD42+BE42</f>
        <v>229518.93</v>
      </c>
      <c r="BB42" s="145">
        <f>87800+70000+71718.93</f>
        <v>229518.93</v>
      </c>
      <c r="BC42" s="145">
        <v>0</v>
      </c>
      <c r="BD42" s="145">
        <v>0</v>
      </c>
      <c r="BE42" s="145"/>
      <c r="BF42" s="145">
        <v>0</v>
      </c>
      <c r="BG42" s="81" t="s">
        <v>227</v>
      </c>
    </row>
    <row r="43" spans="1:59" ht="12.75" x14ac:dyDescent="0.2">
      <c r="A43" s="5"/>
      <c r="B43" s="220" t="s">
        <v>42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1"/>
      <c r="AY43" s="12">
        <v>220</v>
      </c>
      <c r="AZ43" s="72"/>
      <c r="BA43" s="144">
        <f>BA45</f>
        <v>0</v>
      </c>
      <c r="BB43" s="148">
        <f t="shared" ref="BB43:BF43" si="3">BB45</f>
        <v>0</v>
      </c>
      <c r="BC43" s="148">
        <f t="shared" si="3"/>
        <v>0</v>
      </c>
      <c r="BD43" s="148">
        <f t="shared" si="3"/>
        <v>0</v>
      </c>
      <c r="BE43" s="148">
        <f t="shared" si="3"/>
        <v>0</v>
      </c>
      <c r="BF43" s="148">
        <f t="shared" si="3"/>
        <v>0</v>
      </c>
    </row>
    <row r="44" spans="1:59" ht="12.75" x14ac:dyDescent="0.2">
      <c r="A44" s="6"/>
      <c r="B44" s="7"/>
      <c r="C44" s="217" t="s">
        <v>12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AY44" s="8"/>
      <c r="AZ44" s="72"/>
      <c r="BA44" s="144"/>
      <c r="BB44" s="145"/>
      <c r="BC44" s="145"/>
      <c r="BD44" s="145"/>
      <c r="BE44" s="145"/>
      <c r="BF44" s="145"/>
    </row>
    <row r="45" spans="1:59" ht="12.75" x14ac:dyDescent="0.2">
      <c r="A45" s="130"/>
      <c r="B45" s="13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8"/>
      <c r="AY45" s="8"/>
      <c r="AZ45" s="72" t="s">
        <v>17</v>
      </c>
      <c r="BA45" s="144">
        <f>BB45+BC45+BD45+BE45</f>
        <v>0</v>
      </c>
      <c r="BB45" s="145">
        <v>0</v>
      </c>
      <c r="BC45" s="145">
        <v>0</v>
      </c>
      <c r="BD45" s="145">
        <v>0</v>
      </c>
      <c r="BE45" s="145">
        <v>0</v>
      </c>
      <c r="BF45" s="145">
        <v>0</v>
      </c>
    </row>
    <row r="46" spans="1:59" ht="26.25" customHeight="1" x14ac:dyDescent="0.2">
      <c r="A46" s="130"/>
      <c r="B46" s="137"/>
      <c r="C46" s="220" t="s">
        <v>43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1"/>
      <c r="AY46" s="12">
        <v>230</v>
      </c>
      <c r="AZ46" s="72"/>
      <c r="BA46" s="144">
        <f t="shared" ref="BA46:BF46" si="4">BA49+BA50+BA54+BA48</f>
        <v>443276.26</v>
      </c>
      <c r="BB46" s="148">
        <f t="shared" si="4"/>
        <v>391240</v>
      </c>
      <c r="BC46" s="148">
        <f t="shared" si="4"/>
        <v>43287.05</v>
      </c>
      <c r="BD46" s="148">
        <f t="shared" si="4"/>
        <v>0</v>
      </c>
      <c r="BE46" s="148">
        <f>BE49+BE50+BE54+BE48</f>
        <v>8749.2100000000009</v>
      </c>
      <c r="BF46" s="148">
        <f t="shared" si="4"/>
        <v>0</v>
      </c>
    </row>
    <row r="47" spans="1:59" ht="12.75" x14ac:dyDescent="0.2">
      <c r="A47" s="130"/>
      <c r="B47" s="137"/>
      <c r="C47" s="217" t="s">
        <v>12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8"/>
      <c r="AY47" s="8"/>
      <c r="AZ47" s="72"/>
      <c r="BA47" s="144"/>
      <c r="BB47" s="145"/>
      <c r="BC47" s="145"/>
      <c r="BD47" s="145"/>
      <c r="BE47" s="145"/>
      <c r="BF47" s="145"/>
    </row>
    <row r="48" spans="1:59" ht="12.75" x14ac:dyDescent="0.2">
      <c r="A48" s="230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2"/>
      <c r="AY48" s="8"/>
      <c r="AZ48" s="72" t="s">
        <v>151</v>
      </c>
      <c r="BA48" s="144">
        <f>BB48+BC48+BD48+BE48</f>
        <v>43287.05</v>
      </c>
      <c r="BB48" s="145"/>
      <c r="BC48" s="145">
        <f>20545.73+22741.32</f>
        <v>43287.05</v>
      </c>
      <c r="BD48" s="145">
        <v>0</v>
      </c>
      <c r="BE48" s="145">
        <v>0</v>
      </c>
      <c r="BF48" s="145">
        <v>0</v>
      </c>
      <c r="BG48" s="81" t="s">
        <v>241</v>
      </c>
    </row>
    <row r="49" spans="1:63" ht="12.75" x14ac:dyDescent="0.2">
      <c r="A49" s="152"/>
      <c r="B49" s="233" t="s">
        <v>200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4"/>
      <c r="AY49" s="8"/>
      <c r="AZ49" s="72" t="s">
        <v>21</v>
      </c>
      <c r="BA49" s="144">
        <f>BB49+BC49+BD49+BE49</f>
        <v>356912</v>
      </c>
      <c r="BB49" s="145">
        <f>356912</f>
        <v>356912</v>
      </c>
      <c r="BC49" s="145">
        <v>0</v>
      </c>
      <c r="BD49" s="145">
        <v>0</v>
      </c>
      <c r="BE49" s="145">
        <v>0</v>
      </c>
      <c r="BF49" s="145">
        <v>0</v>
      </c>
      <c r="BG49" s="81" t="s">
        <v>228</v>
      </c>
    </row>
    <row r="50" spans="1:63" ht="12.75" x14ac:dyDescent="0.2">
      <c r="A50" s="6"/>
      <c r="B50" s="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8"/>
      <c r="AZ50" s="72" t="s">
        <v>18</v>
      </c>
      <c r="BA50" s="144">
        <f>BB50+BC50+BD50+BE50</f>
        <v>34328</v>
      </c>
      <c r="BB50" s="145">
        <f>BB51+BB52+BB53</f>
        <v>34328</v>
      </c>
      <c r="BC50" s="145">
        <v>0</v>
      </c>
      <c r="BD50" s="145">
        <v>0</v>
      </c>
      <c r="BE50" s="145">
        <f>SUM(BE51:BE53)</f>
        <v>0</v>
      </c>
      <c r="BF50" s="145">
        <v>0</v>
      </c>
      <c r="BG50" s="81" t="s">
        <v>246</v>
      </c>
    </row>
    <row r="51" spans="1:63" s="91" customFormat="1" ht="12.75" x14ac:dyDescent="0.2">
      <c r="A51" s="222" t="s">
        <v>201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4"/>
      <c r="AY51" s="104"/>
      <c r="AZ51" s="105"/>
      <c r="BA51" s="146"/>
      <c r="BB51" s="146">
        <f>1450</f>
        <v>1450</v>
      </c>
      <c r="BC51" s="146"/>
      <c r="BD51" s="146"/>
      <c r="BE51" s="146"/>
      <c r="BF51" s="146"/>
      <c r="BG51" s="109"/>
    </row>
    <row r="52" spans="1:63" s="91" customFormat="1" ht="12.75" x14ac:dyDescent="0.2">
      <c r="A52" s="222" t="s">
        <v>186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4"/>
      <c r="AY52" s="104"/>
      <c r="AZ52" s="105"/>
      <c r="BA52" s="146"/>
      <c r="BB52" s="146">
        <f>17078+15800</f>
        <v>32878</v>
      </c>
      <c r="BC52" s="146"/>
      <c r="BD52" s="146"/>
      <c r="BE52" s="146"/>
      <c r="BF52" s="146"/>
      <c r="BG52" s="109"/>
    </row>
    <row r="53" spans="1:63" s="91" customFormat="1" ht="12.75" x14ac:dyDescent="0.2">
      <c r="A53" s="222" t="s">
        <v>188</v>
      </c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4"/>
      <c r="AY53" s="104"/>
      <c r="AZ53" s="105"/>
      <c r="BA53" s="146"/>
      <c r="BB53" s="146"/>
      <c r="BC53" s="146"/>
      <c r="BD53" s="146"/>
      <c r="BE53" s="146">
        <f>2000+7000-2400-3850-2750</f>
        <v>0</v>
      </c>
      <c r="BF53" s="146"/>
      <c r="BG53" s="109"/>
    </row>
    <row r="54" spans="1:63" ht="39" customHeight="1" x14ac:dyDescent="0.2">
      <c r="A54" s="130"/>
      <c r="B54" s="13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8"/>
      <c r="AY54" s="8"/>
      <c r="AZ54" s="72" t="s">
        <v>19</v>
      </c>
      <c r="BA54" s="144">
        <f t="shared" ref="BA54" si="5">BB54+BC54+BD54+BE54</f>
        <v>8749.2100000000009</v>
      </c>
      <c r="BB54" s="145"/>
      <c r="BC54" s="145">
        <v>0</v>
      </c>
      <c r="BD54" s="145">
        <v>0</v>
      </c>
      <c r="BE54" s="145">
        <f>5000+5973.25-462.22-1761.82</f>
        <v>8749.2100000000009</v>
      </c>
      <c r="BF54" s="145">
        <v>0</v>
      </c>
      <c r="BG54" s="260" t="s">
        <v>244</v>
      </c>
      <c r="BH54" s="261"/>
      <c r="BI54" s="261"/>
      <c r="BJ54" s="261"/>
      <c r="BK54" s="261"/>
    </row>
    <row r="55" spans="1:63" ht="12.75" x14ac:dyDescent="0.2">
      <c r="A55" s="130"/>
      <c r="B55" s="137"/>
      <c r="C55" s="220" t="s">
        <v>44</v>
      </c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1"/>
      <c r="AY55" s="12">
        <v>240</v>
      </c>
      <c r="AZ55" s="72"/>
      <c r="BA55" s="144"/>
      <c r="BB55" s="148"/>
      <c r="BC55" s="148"/>
      <c r="BD55" s="148"/>
      <c r="BE55" s="148"/>
      <c r="BF55" s="148"/>
    </row>
    <row r="56" spans="1:63" ht="12.75" x14ac:dyDescent="0.2">
      <c r="A56" s="130"/>
      <c r="B56" s="13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8"/>
      <c r="AY56" s="8"/>
      <c r="AZ56" s="72"/>
      <c r="BA56" s="144"/>
      <c r="BB56" s="145"/>
      <c r="BC56" s="145"/>
      <c r="BD56" s="145"/>
      <c r="BE56" s="145"/>
      <c r="BF56" s="145"/>
    </row>
    <row r="57" spans="1:63" ht="12.75" x14ac:dyDescent="0.2">
      <c r="A57" s="130"/>
      <c r="B57" s="137"/>
      <c r="C57" s="220" t="s">
        <v>45</v>
      </c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1"/>
      <c r="AY57" s="12">
        <v>250</v>
      </c>
      <c r="AZ57" s="72" t="s">
        <v>55</v>
      </c>
      <c r="BA57" s="144">
        <f>BD57</f>
        <v>0</v>
      </c>
      <c r="BB57" s="148">
        <v>0</v>
      </c>
      <c r="BC57" s="148">
        <v>0</v>
      </c>
      <c r="BD57" s="148">
        <v>0</v>
      </c>
      <c r="BE57" s="148">
        <v>0</v>
      </c>
      <c r="BF57" s="148">
        <v>0</v>
      </c>
      <c r="BG57" s="81" t="s">
        <v>56</v>
      </c>
    </row>
    <row r="58" spans="1:63" ht="12.75" x14ac:dyDescent="0.2">
      <c r="A58" s="5"/>
      <c r="B58" s="220" t="s">
        <v>54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1"/>
      <c r="AY58" s="12">
        <v>260</v>
      </c>
      <c r="AZ58" s="72" t="s">
        <v>13</v>
      </c>
      <c r="BA58" s="144">
        <f>BB58+BC58+BD58+BE58</f>
        <v>5514903.1100000003</v>
      </c>
      <c r="BB58" s="148">
        <f>SUM(BB59:BB86)</f>
        <v>2977090.38</v>
      </c>
      <c r="BC58" s="148">
        <f>SUM(BC59:BC109)</f>
        <v>1357092.9500000002</v>
      </c>
      <c r="BD58" s="148">
        <v>0</v>
      </c>
      <c r="BE58" s="148">
        <f>SUM(BE59:BE109)</f>
        <v>1180719.78</v>
      </c>
      <c r="BF58" s="148">
        <v>0</v>
      </c>
    </row>
    <row r="59" spans="1:63" s="91" customFormat="1" ht="12.75" x14ac:dyDescent="0.2">
      <c r="A59" s="20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1"/>
      <c r="AY59" s="262">
        <v>4000</v>
      </c>
      <c r="AZ59" s="105" t="s">
        <v>163</v>
      </c>
      <c r="BA59" s="146"/>
      <c r="BB59" s="146">
        <f>44400</f>
        <v>44400</v>
      </c>
      <c r="BC59" s="146"/>
      <c r="BD59" s="146"/>
      <c r="BE59" s="146"/>
      <c r="BF59" s="146"/>
      <c r="BG59" s="208" t="s">
        <v>152</v>
      </c>
    </row>
    <row r="60" spans="1:63" s="91" customFormat="1" ht="12.75" x14ac:dyDescent="0.2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1"/>
      <c r="AY60" s="263"/>
      <c r="AZ60" s="105" t="s">
        <v>164</v>
      </c>
      <c r="BA60" s="146"/>
      <c r="BB60" s="146">
        <f>1116642+793.1+5709-793.1</f>
        <v>1122351</v>
      </c>
      <c r="BC60" s="146"/>
      <c r="BD60" s="146"/>
      <c r="BE60" s="146"/>
      <c r="BF60" s="146"/>
      <c r="BG60" s="208"/>
    </row>
    <row r="61" spans="1:63" s="91" customFormat="1" ht="12.75" x14ac:dyDescent="0.2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1"/>
      <c r="AY61" s="263"/>
      <c r="AZ61" s="105" t="s">
        <v>165</v>
      </c>
      <c r="BA61" s="146"/>
      <c r="BB61" s="146">
        <f>881756+9961.99-795-9961.99</f>
        <v>880961</v>
      </c>
      <c r="BC61" s="146"/>
      <c r="BD61" s="146"/>
      <c r="BE61" s="146"/>
      <c r="BF61" s="146"/>
      <c r="BG61" s="208"/>
    </row>
    <row r="62" spans="1:63" s="91" customFormat="1" ht="12.75" x14ac:dyDescent="0.2">
      <c r="A62" s="209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1"/>
      <c r="AY62" s="263"/>
      <c r="AZ62" s="105" t="s">
        <v>166</v>
      </c>
      <c r="BA62" s="146"/>
      <c r="BB62" s="146">
        <f>48809+1074.03-4914-1074.03</f>
        <v>43895</v>
      </c>
      <c r="BC62" s="146"/>
      <c r="BD62" s="146"/>
      <c r="BE62" s="146"/>
      <c r="BF62" s="146"/>
      <c r="BG62" s="208"/>
    </row>
    <row r="63" spans="1:63" s="91" customFormat="1" ht="12.75" x14ac:dyDescent="0.2">
      <c r="A63" s="209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1"/>
      <c r="AY63" s="263"/>
      <c r="AZ63" s="105" t="s">
        <v>167</v>
      </c>
      <c r="BA63" s="146"/>
      <c r="BB63" s="146">
        <f>302106+66601.28-11829.12-38390.96-18446.18+11829.12+3605</f>
        <v>315475.14</v>
      </c>
      <c r="BC63" s="146"/>
      <c r="BD63" s="146"/>
      <c r="BE63" s="146"/>
      <c r="BF63" s="146"/>
      <c r="BG63" s="208"/>
    </row>
    <row r="64" spans="1:63" s="91" customFormat="1" ht="12.75" x14ac:dyDescent="0.2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1"/>
      <c r="AY64" s="263"/>
      <c r="AZ64" s="105" t="s">
        <v>168</v>
      </c>
      <c r="BA64" s="146"/>
      <c r="BB64" s="146">
        <f>434944-37209.98+13500-6560-150000-3605</f>
        <v>251069.02000000002</v>
      </c>
      <c r="BC64" s="146"/>
      <c r="BD64" s="146"/>
      <c r="BE64" s="146"/>
      <c r="BF64" s="146"/>
      <c r="BG64" s="208"/>
    </row>
    <row r="65" spans="1:60" s="91" customFormat="1" ht="12.75" x14ac:dyDescent="0.2">
      <c r="A65" s="209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1"/>
      <c r="AY65" s="263"/>
      <c r="AZ65" s="105" t="s">
        <v>169</v>
      </c>
      <c r="BA65" s="146"/>
      <c r="BB65" s="146">
        <f>156800-29391.3+44950.96+18446.18</f>
        <v>190805.84</v>
      </c>
      <c r="BC65" s="146"/>
      <c r="BD65" s="146"/>
      <c r="BE65" s="146"/>
      <c r="BF65" s="146"/>
      <c r="BG65" s="208"/>
    </row>
    <row r="66" spans="1:60" s="91" customFormat="1" ht="12.75" x14ac:dyDescent="0.2">
      <c r="A66" s="264" t="s">
        <v>171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6"/>
      <c r="AY66" s="263"/>
      <c r="AZ66" s="105" t="s">
        <v>168</v>
      </c>
      <c r="BA66" s="146"/>
      <c r="BB66" s="146"/>
      <c r="BC66" s="146"/>
      <c r="BD66" s="146"/>
      <c r="BE66" s="146"/>
      <c r="BF66" s="146"/>
      <c r="BG66" s="208"/>
    </row>
    <row r="67" spans="1:60" s="91" customFormat="1" ht="12.75" customHeight="1" x14ac:dyDescent="0.2">
      <c r="A67" s="267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9"/>
      <c r="AY67" s="263"/>
      <c r="AZ67" s="105" t="s">
        <v>170</v>
      </c>
      <c r="BA67" s="146"/>
      <c r="BB67" s="146"/>
      <c r="BC67" s="146"/>
      <c r="BD67" s="146"/>
      <c r="BE67" s="146"/>
      <c r="BF67" s="146"/>
      <c r="BG67" s="208"/>
    </row>
    <row r="68" spans="1:60" s="91" customFormat="1" ht="12.75" x14ac:dyDescent="0.2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1"/>
      <c r="AY68" s="270">
        <v>4199</v>
      </c>
      <c r="AZ68" s="105" t="s">
        <v>163</v>
      </c>
      <c r="BA68" s="146"/>
      <c r="BB68" s="146">
        <v>3485.64</v>
      </c>
      <c r="BC68" s="146"/>
      <c r="BD68" s="146"/>
      <c r="BE68" s="146"/>
      <c r="BF68" s="146"/>
      <c r="BG68" s="208"/>
    </row>
    <row r="69" spans="1:60" s="91" customFormat="1" ht="12.75" x14ac:dyDescent="0.2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1"/>
      <c r="AY69" s="270"/>
      <c r="AZ69" s="105" t="s">
        <v>164</v>
      </c>
      <c r="BA69" s="146"/>
      <c r="BB69" s="146">
        <f>64.97+169.35</f>
        <v>234.32</v>
      </c>
      <c r="BC69" s="146"/>
      <c r="BD69" s="146"/>
      <c r="BE69" s="146"/>
      <c r="BF69" s="146"/>
      <c r="BG69" s="208"/>
      <c r="BH69" s="155">
        <f>BB60+BB61+BB62+BB69+BB70+BB71+BE89+BE90+BE91+BE101+BE102+BE103</f>
        <v>2308367.08</v>
      </c>
    </row>
    <row r="70" spans="1:60" s="91" customFormat="1" ht="12.75" x14ac:dyDescent="0.2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1"/>
      <c r="AY70" s="270"/>
      <c r="AZ70" s="105" t="s">
        <v>165</v>
      </c>
      <c r="BA70" s="146"/>
      <c r="BB70" s="146">
        <f>48254.6+2816.4</f>
        <v>51071</v>
      </c>
      <c r="BC70" s="146"/>
      <c r="BD70" s="146"/>
      <c r="BE70" s="146"/>
      <c r="BF70" s="146"/>
      <c r="BG70" s="208"/>
    </row>
    <row r="71" spans="1:60" s="91" customFormat="1" ht="12.75" x14ac:dyDescent="0.2">
      <c r="A71" s="209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1"/>
      <c r="AY71" s="270"/>
      <c r="AZ71" s="105" t="s">
        <v>166</v>
      </c>
      <c r="BA71" s="146"/>
      <c r="BB71" s="146">
        <f>2844.73+101.78</f>
        <v>2946.51</v>
      </c>
      <c r="BC71" s="146"/>
      <c r="BD71" s="146"/>
      <c r="BE71" s="146"/>
      <c r="BF71" s="146"/>
      <c r="BG71" s="208"/>
    </row>
    <row r="72" spans="1:60" s="91" customFormat="1" ht="12.75" x14ac:dyDescent="0.2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1"/>
      <c r="AY72" s="270"/>
      <c r="AZ72" s="105" t="s">
        <v>167</v>
      </c>
      <c r="BA72" s="146"/>
      <c r="BB72" s="146">
        <f>42975.44+11912.47</f>
        <v>54887.91</v>
      </c>
      <c r="BC72" s="146"/>
      <c r="BD72" s="146"/>
      <c r="BE72" s="146"/>
      <c r="BF72" s="146"/>
      <c r="BG72" s="208"/>
      <c r="BH72" s="91">
        <v>0</v>
      </c>
    </row>
    <row r="73" spans="1:60" s="91" customFormat="1" ht="12.75" x14ac:dyDescent="0.2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1"/>
      <c r="AY73" s="270"/>
      <c r="AZ73" s="105" t="s">
        <v>168</v>
      </c>
      <c r="BA73" s="146"/>
      <c r="BB73" s="146">
        <f>18360-15000</f>
        <v>3360</v>
      </c>
      <c r="BC73" s="146"/>
      <c r="BD73" s="146"/>
      <c r="BE73" s="146"/>
      <c r="BF73" s="146"/>
      <c r="BG73" s="208"/>
    </row>
    <row r="74" spans="1:60" s="91" customFormat="1" ht="12.75" x14ac:dyDescent="0.2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1"/>
      <c r="AY74" s="270"/>
      <c r="AZ74" s="105" t="s">
        <v>169</v>
      </c>
      <c r="BA74" s="146"/>
      <c r="BB74" s="146">
        <v>11638</v>
      </c>
      <c r="BC74" s="146"/>
      <c r="BD74" s="146"/>
      <c r="BE74" s="146"/>
      <c r="BF74" s="146"/>
      <c r="BG74" s="208"/>
    </row>
    <row r="75" spans="1:60" s="91" customFormat="1" ht="12.75" x14ac:dyDescent="0.2">
      <c r="A75" s="156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1"/>
      <c r="AY75" s="270"/>
      <c r="AZ75" s="105" t="s">
        <v>168</v>
      </c>
      <c r="BA75" s="146"/>
      <c r="BB75" s="146"/>
      <c r="BC75" s="146"/>
      <c r="BD75" s="146"/>
      <c r="BE75" s="146"/>
      <c r="BF75" s="146"/>
      <c r="BG75" s="208"/>
    </row>
    <row r="76" spans="1:60" s="91" customFormat="1" ht="12.75" customHeight="1" x14ac:dyDescent="0.2">
      <c r="A76" s="156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1"/>
      <c r="AY76" s="270"/>
      <c r="AZ76" s="105" t="s">
        <v>170</v>
      </c>
      <c r="BA76" s="146"/>
      <c r="BB76" s="146">
        <v>510</v>
      </c>
      <c r="BC76" s="146"/>
      <c r="BD76" s="146"/>
      <c r="BE76" s="146"/>
      <c r="BF76" s="146"/>
      <c r="BG76" s="208"/>
    </row>
    <row r="77" spans="1:60" s="91" customFormat="1" ht="12.75" x14ac:dyDescent="0.2">
      <c r="A77" s="156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1"/>
      <c r="AY77" s="270"/>
      <c r="AZ77" s="105" t="s">
        <v>169</v>
      </c>
      <c r="BA77" s="146"/>
      <c r="BB77" s="146"/>
      <c r="BC77" s="146"/>
      <c r="BD77" s="146"/>
      <c r="BE77" s="146"/>
      <c r="BF77" s="146"/>
      <c r="BG77" s="208"/>
    </row>
    <row r="78" spans="1:60" s="91" customFormat="1" ht="12.75" x14ac:dyDescent="0.2">
      <c r="A78" s="209" t="s">
        <v>193</v>
      </c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1"/>
      <c r="AY78" s="104"/>
      <c r="AZ78" s="105" t="s">
        <v>170</v>
      </c>
      <c r="BA78" s="146"/>
      <c r="BB78" s="146"/>
      <c r="BC78" s="146">
        <f>13696</f>
        <v>13696</v>
      </c>
      <c r="BD78" s="146"/>
      <c r="BE78" s="146"/>
      <c r="BF78" s="146"/>
      <c r="BG78" s="208"/>
    </row>
    <row r="79" spans="1:60" s="91" customFormat="1" ht="12.75" x14ac:dyDescent="0.2">
      <c r="A79" s="209" t="s">
        <v>193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1"/>
      <c r="AY79" s="104"/>
      <c r="AZ79" s="105" t="s">
        <v>168</v>
      </c>
      <c r="BA79" s="146"/>
      <c r="BB79" s="146"/>
      <c r="BC79" s="146">
        <f>23684</f>
        <v>23684</v>
      </c>
      <c r="BD79" s="146"/>
      <c r="BE79" s="146"/>
      <c r="BF79" s="146"/>
      <c r="BG79" s="208"/>
    </row>
    <row r="80" spans="1:60" s="91" customFormat="1" ht="12.75" x14ac:dyDescent="0.2">
      <c r="A80" s="209" t="s">
        <v>173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1"/>
      <c r="AY80" s="104"/>
      <c r="AZ80" s="105" t="s">
        <v>174</v>
      </c>
      <c r="BA80" s="146"/>
      <c r="BB80" s="146"/>
      <c r="BC80" s="146"/>
      <c r="BD80" s="146"/>
      <c r="BE80" s="146"/>
      <c r="BF80" s="146"/>
      <c r="BG80" s="208"/>
    </row>
    <row r="81" spans="1:63" s="91" customFormat="1" ht="12.75" x14ac:dyDescent="0.2">
      <c r="A81" s="209" t="s">
        <v>202</v>
      </c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1"/>
      <c r="AY81" s="104"/>
      <c r="AZ81" s="105" t="s">
        <v>172</v>
      </c>
      <c r="BA81" s="146"/>
      <c r="BB81" s="146"/>
      <c r="BC81" s="146">
        <f>649062.05+52397.66</f>
        <v>701459.71000000008</v>
      </c>
      <c r="BD81" s="146"/>
      <c r="BE81" s="146"/>
      <c r="BF81" s="146"/>
      <c r="BG81" s="208"/>
    </row>
    <row r="82" spans="1:63" s="91" customFormat="1" ht="12.75" x14ac:dyDescent="0.2">
      <c r="A82" s="209" t="s">
        <v>202</v>
      </c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1"/>
      <c r="AY82" s="104"/>
      <c r="AZ82" s="105" t="s">
        <v>166</v>
      </c>
      <c r="BA82" s="146"/>
      <c r="BB82" s="146"/>
      <c r="BC82" s="146">
        <v>0</v>
      </c>
      <c r="BD82" s="146"/>
      <c r="BE82" s="146"/>
      <c r="BF82" s="146"/>
      <c r="BG82" s="208"/>
    </row>
    <row r="83" spans="1:63" s="91" customFormat="1" ht="12.75" x14ac:dyDescent="0.2">
      <c r="A83" s="209" t="s">
        <v>202</v>
      </c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1"/>
      <c r="AY83" s="104"/>
      <c r="AZ83" s="105" t="s">
        <v>167</v>
      </c>
      <c r="BA83" s="146"/>
      <c r="BB83" s="146"/>
      <c r="BC83" s="146">
        <v>518253.24</v>
      </c>
      <c r="BD83" s="146"/>
      <c r="BE83" s="146"/>
      <c r="BF83" s="146"/>
      <c r="BG83" s="208"/>
    </row>
    <row r="84" spans="1:63" s="91" customFormat="1" ht="14.25" customHeight="1" x14ac:dyDescent="0.2">
      <c r="A84" s="209" t="s">
        <v>223</v>
      </c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1"/>
      <c r="AY84" s="104"/>
      <c r="AZ84" s="105" t="s">
        <v>168</v>
      </c>
      <c r="BA84" s="146"/>
      <c r="BB84" s="146"/>
      <c r="BC84" s="146">
        <f>100000-10000</f>
        <v>90000</v>
      </c>
      <c r="BD84" s="146"/>
      <c r="BE84" s="146"/>
      <c r="BF84" s="146"/>
      <c r="BG84" s="208"/>
    </row>
    <row r="85" spans="1:63" s="91" customFormat="1" ht="14.25" customHeight="1" x14ac:dyDescent="0.2">
      <c r="A85" s="209" t="s">
        <v>223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1"/>
      <c r="AY85" s="104"/>
      <c r="AZ85" s="105" t="s">
        <v>180</v>
      </c>
      <c r="BA85" s="146"/>
      <c r="BB85" s="146"/>
      <c r="BC85" s="146">
        <v>10000</v>
      </c>
      <c r="BD85" s="146"/>
      <c r="BE85" s="146"/>
      <c r="BF85" s="146"/>
      <c r="BG85" s="208"/>
    </row>
    <row r="86" spans="1:63" s="91" customFormat="1" ht="14.25" customHeight="1" x14ac:dyDescent="0.2">
      <c r="A86" s="209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1"/>
      <c r="AY86" s="104"/>
      <c r="AZ86" s="105" t="s">
        <v>170</v>
      </c>
      <c r="BA86" s="146"/>
      <c r="BB86" s="146"/>
      <c r="BC86" s="146"/>
      <c r="BD86" s="146"/>
      <c r="BE86" s="146"/>
      <c r="BF86" s="146"/>
      <c r="BG86" s="208"/>
    </row>
    <row r="87" spans="1:63" s="91" customFormat="1" ht="14.25" customHeight="1" x14ac:dyDescent="0.2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1"/>
      <c r="AY87" s="104"/>
      <c r="AZ87" s="105" t="s">
        <v>169</v>
      </c>
      <c r="BA87" s="146"/>
      <c r="BB87" s="146"/>
      <c r="BC87" s="146"/>
      <c r="BD87" s="146"/>
      <c r="BE87" s="146"/>
      <c r="BF87" s="146"/>
      <c r="BG87" s="208"/>
      <c r="BH87" s="92" t="s">
        <v>181</v>
      </c>
      <c r="BI87" s="93" t="s">
        <v>182</v>
      </c>
      <c r="BJ87" s="93" t="s">
        <v>183</v>
      </c>
      <c r="BK87" s="93" t="s">
        <v>146</v>
      </c>
    </row>
    <row r="88" spans="1:63" s="91" customFormat="1" ht="14.25" customHeight="1" x14ac:dyDescent="0.2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3"/>
      <c r="AY88" s="104">
        <v>2001</v>
      </c>
      <c r="AZ88" s="105" t="s">
        <v>163</v>
      </c>
      <c r="BA88" s="146"/>
      <c r="BB88" s="146"/>
      <c r="BC88" s="146"/>
      <c r="BD88" s="146"/>
      <c r="BE88" s="146">
        <f>24000+3380.4-3300+462.22+19134.08-20895.9+1761.82</f>
        <v>24542.620000000003</v>
      </c>
      <c r="BF88" s="146"/>
      <c r="BG88" s="208"/>
      <c r="BH88" s="92">
        <v>221</v>
      </c>
      <c r="BI88" s="94">
        <f>BE88+BE104</f>
        <v>50854.14</v>
      </c>
      <c r="BJ88" s="94">
        <f>BB59+BB68</f>
        <v>47885.64</v>
      </c>
      <c r="BK88" s="94">
        <f>BI88+BJ88</f>
        <v>98739.78</v>
      </c>
    </row>
    <row r="89" spans="1:63" s="91" customFormat="1" ht="14.25" customHeight="1" x14ac:dyDescent="0.2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3" t="s">
        <v>177</v>
      </c>
      <c r="AY89" s="104">
        <v>2001</v>
      </c>
      <c r="AZ89" s="105" t="s">
        <v>172</v>
      </c>
      <c r="BA89" s="146"/>
      <c r="BB89" s="146"/>
      <c r="BC89" s="146"/>
      <c r="BD89" s="146"/>
      <c r="BE89" s="146">
        <f>13000+28.46+4200</f>
        <v>17228.46</v>
      </c>
      <c r="BF89" s="146"/>
      <c r="BG89" s="208"/>
      <c r="BH89" s="92">
        <v>222</v>
      </c>
      <c r="BI89" s="94">
        <f>0</f>
        <v>0</v>
      </c>
      <c r="BJ89" s="94">
        <f>BC80</f>
        <v>0</v>
      </c>
      <c r="BK89" s="94">
        <f t="shared" ref="BK89:BK95" si="6">BI89+BJ89</f>
        <v>0</v>
      </c>
    </row>
    <row r="90" spans="1:63" s="91" customFormat="1" ht="14.25" customHeight="1" x14ac:dyDescent="0.2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3" t="s">
        <v>178</v>
      </c>
      <c r="AY90" s="104">
        <v>2001</v>
      </c>
      <c r="AZ90" s="105" t="s">
        <v>172</v>
      </c>
      <c r="BA90" s="146"/>
      <c r="BB90" s="146"/>
      <c r="BC90" s="146"/>
      <c r="BD90" s="146"/>
      <c r="BE90" s="146">
        <f>20000+244.24-1150</f>
        <v>19094.240000000002</v>
      </c>
      <c r="BF90" s="146"/>
      <c r="BG90" s="208"/>
      <c r="BH90" s="92">
        <v>223</v>
      </c>
      <c r="BI90" s="94">
        <f>BE89+BE90+BE91+BE101+BE102+BE103</f>
        <v>206908.25</v>
      </c>
      <c r="BJ90" s="94">
        <f>BB60+BB61+BB62+BB69+BB70+BB71+BC81+BC82</f>
        <v>2802918.54</v>
      </c>
      <c r="BK90" s="94">
        <f t="shared" si="6"/>
        <v>3009826.79</v>
      </c>
    </row>
    <row r="91" spans="1:63" s="91" customFormat="1" ht="14.25" customHeight="1" x14ac:dyDescent="0.2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3" t="s">
        <v>179</v>
      </c>
      <c r="AY91" s="104">
        <v>2001</v>
      </c>
      <c r="AZ91" s="105" t="s">
        <v>172</v>
      </c>
      <c r="BA91" s="146"/>
      <c r="BB91" s="146"/>
      <c r="BC91" s="146"/>
      <c r="BD91" s="146"/>
      <c r="BE91" s="146">
        <f>2000+0.02</f>
        <v>2000.02</v>
      </c>
      <c r="BF91" s="146"/>
      <c r="BG91" s="208"/>
      <c r="BH91" s="92">
        <v>225</v>
      </c>
      <c r="BI91" s="94">
        <f>BE92+BE105+BE96</f>
        <v>153528.53</v>
      </c>
      <c r="BJ91" s="94">
        <f>BB63+BB72+BC83</f>
        <v>888616.29</v>
      </c>
      <c r="BK91" s="94">
        <f t="shared" si="6"/>
        <v>1042144.8200000001</v>
      </c>
    </row>
    <row r="92" spans="1:63" s="91" customFormat="1" ht="14.25" customHeight="1" x14ac:dyDescent="0.2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3"/>
      <c r="AY92" s="104">
        <v>2001</v>
      </c>
      <c r="AZ92" s="105" t="s">
        <v>167</v>
      </c>
      <c r="BA92" s="146"/>
      <c r="BB92" s="146"/>
      <c r="BC92" s="146"/>
      <c r="BD92" s="146"/>
      <c r="BE92" s="146">
        <f>45000-13031.84+48810.37+7714-7714</f>
        <v>80778.53</v>
      </c>
      <c r="BF92" s="146"/>
      <c r="BG92" s="208"/>
      <c r="BH92" s="92">
        <v>226</v>
      </c>
      <c r="BI92" s="94">
        <f>BE93+BE106</f>
        <v>81667.08</v>
      </c>
      <c r="BJ92" s="94">
        <f>BB64+BB66+BB75+BC79+BB73+BC84</f>
        <v>368113.02</v>
      </c>
      <c r="BK92" s="94">
        <f t="shared" si="6"/>
        <v>449780.10000000003</v>
      </c>
    </row>
    <row r="93" spans="1:63" s="91" customFormat="1" ht="14.25" customHeight="1" x14ac:dyDescent="0.2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3"/>
      <c r="AY93" s="104">
        <v>2001</v>
      </c>
      <c r="AZ93" s="105" t="s">
        <v>168</v>
      </c>
      <c r="BA93" s="146"/>
      <c r="BB93" s="146"/>
      <c r="BC93" s="146"/>
      <c r="BD93" s="146"/>
      <c r="BE93" s="146">
        <f>60000-30380.3+28026.6-4770-10291.68</f>
        <v>42584.62</v>
      </c>
      <c r="BF93" s="146"/>
      <c r="BG93" s="208"/>
      <c r="BH93" s="92">
        <v>290</v>
      </c>
      <c r="BI93" s="94">
        <f>BE97+BE98</f>
        <v>54770</v>
      </c>
      <c r="BJ93" s="94">
        <f>BB67+BB76+BC78</f>
        <v>14206</v>
      </c>
      <c r="BK93" s="94">
        <f t="shared" si="6"/>
        <v>68976</v>
      </c>
    </row>
    <row r="94" spans="1:63" s="91" customFormat="1" ht="14.25" customHeight="1" x14ac:dyDescent="0.2">
      <c r="A94" s="131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3"/>
      <c r="AY94" s="104">
        <v>2001</v>
      </c>
      <c r="AZ94" s="105" t="s">
        <v>180</v>
      </c>
      <c r="BA94" s="146"/>
      <c r="BB94" s="146"/>
      <c r="BC94" s="146"/>
      <c r="BD94" s="146"/>
      <c r="BE94" s="146">
        <f>30000+76771.3+8150+46241.9-2400-29850.76</f>
        <v>128912.44000000002</v>
      </c>
      <c r="BF94" s="146"/>
      <c r="BG94" s="208"/>
      <c r="BH94" s="92">
        <v>310</v>
      </c>
      <c r="BI94" s="94">
        <f>BE94+BE99+BE107</f>
        <v>520362.44</v>
      </c>
      <c r="BJ94" s="94">
        <f>BC85</f>
        <v>10000</v>
      </c>
      <c r="BK94" s="94">
        <f t="shared" si="6"/>
        <v>530362.43999999994</v>
      </c>
    </row>
    <row r="95" spans="1:63" s="91" customFormat="1" ht="14.25" customHeight="1" x14ac:dyDescent="0.2">
      <c r="A95" s="131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3"/>
      <c r="AY95" s="104">
        <v>2001</v>
      </c>
      <c r="AZ95" s="105" t="s">
        <v>169</v>
      </c>
      <c r="BA95" s="146"/>
      <c r="BB95" s="146"/>
      <c r="BC95" s="146"/>
      <c r="BD95" s="146"/>
      <c r="BE95" s="146">
        <f>73000+8991-30059.16-8150+40000-6.34</f>
        <v>83775.5</v>
      </c>
      <c r="BF95" s="146"/>
      <c r="BG95" s="208"/>
      <c r="BH95" s="92">
        <v>340</v>
      </c>
      <c r="BI95" s="94">
        <f>BE95+BE100+BE108+BE109</f>
        <v>112629.34</v>
      </c>
      <c r="BJ95" s="94">
        <f>BB77+BB65+BB74</f>
        <v>202443.84</v>
      </c>
      <c r="BK95" s="94">
        <f t="shared" si="6"/>
        <v>315073.18</v>
      </c>
    </row>
    <row r="96" spans="1:63" s="91" customFormat="1" ht="14.25" customHeight="1" x14ac:dyDescent="0.2">
      <c r="A96" s="131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3"/>
      <c r="AY96" s="104">
        <v>2006</v>
      </c>
      <c r="AZ96" s="105" t="s">
        <v>167</v>
      </c>
      <c r="BA96" s="146"/>
      <c r="BB96" s="146"/>
      <c r="BC96" s="146"/>
      <c r="BD96" s="146"/>
      <c r="BE96" s="146">
        <f>60000</f>
        <v>60000</v>
      </c>
      <c r="BF96" s="146"/>
      <c r="BG96" s="208"/>
      <c r="BH96" s="92" t="s">
        <v>146</v>
      </c>
      <c r="BI96" s="94">
        <f>SUM(BI88:BI95)</f>
        <v>1180719.78</v>
      </c>
      <c r="BJ96" s="94">
        <f>SUM(BJ88:BJ95)</f>
        <v>4334183.33</v>
      </c>
      <c r="BK96" s="94">
        <f t="shared" ref="BK96" si="7">SUM(BK88:BK95)</f>
        <v>5514903.1099999994</v>
      </c>
    </row>
    <row r="97" spans="1:64" s="91" customFormat="1" ht="14.25" customHeight="1" x14ac:dyDescent="0.2">
      <c r="A97" s="131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3"/>
      <c r="AY97" s="104">
        <v>2001</v>
      </c>
      <c r="AZ97" s="105" t="s">
        <v>245</v>
      </c>
      <c r="BA97" s="146"/>
      <c r="BB97" s="146"/>
      <c r="BC97" s="146"/>
      <c r="BD97" s="146"/>
      <c r="BE97" s="146">
        <v>4770</v>
      </c>
      <c r="BF97" s="146"/>
      <c r="BG97" s="208"/>
      <c r="BH97" s="92"/>
      <c r="BI97" s="96">
        <f>BE58-BI96</f>
        <v>0</v>
      </c>
      <c r="BJ97" s="96">
        <f>(BB58+BC58)-BJ96</f>
        <v>0</v>
      </c>
      <c r="BK97" s="95">
        <f>BA58-BK96</f>
        <v>0</v>
      </c>
    </row>
    <row r="98" spans="1:64" s="91" customFormat="1" ht="14.25" customHeight="1" x14ac:dyDescent="0.2">
      <c r="A98" s="131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3"/>
      <c r="AY98" s="104">
        <v>2010</v>
      </c>
      <c r="AZ98" s="105" t="s">
        <v>245</v>
      </c>
      <c r="BA98" s="146"/>
      <c r="BB98" s="146"/>
      <c r="BC98" s="146"/>
      <c r="BD98" s="146"/>
      <c r="BE98" s="146">
        <f>45000+5000</f>
        <v>50000</v>
      </c>
      <c r="BF98" s="146"/>
      <c r="BG98" s="208"/>
    </row>
    <row r="99" spans="1:64" s="91" customFormat="1" ht="14.25" customHeight="1" x14ac:dyDescent="0.2">
      <c r="A99" s="131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3"/>
      <c r="AY99" s="104">
        <v>2010</v>
      </c>
      <c r="AZ99" s="105" t="s">
        <v>180</v>
      </c>
      <c r="BA99" s="146"/>
      <c r="BB99" s="146"/>
      <c r="BC99" s="146"/>
      <c r="BD99" s="146"/>
      <c r="BE99" s="146">
        <f>341000+30450-5000</f>
        <v>366450</v>
      </c>
      <c r="BF99" s="146"/>
      <c r="BG99" s="208"/>
      <c r="BH99" s="92" t="s">
        <v>184</v>
      </c>
      <c r="BI99" s="92" t="s">
        <v>182</v>
      </c>
      <c r="BJ99" s="92" t="s">
        <v>243</v>
      </c>
      <c r="BK99" s="97" t="s">
        <v>242</v>
      </c>
    </row>
    <row r="100" spans="1:64" s="91" customFormat="1" ht="14.25" customHeight="1" x14ac:dyDescent="0.2">
      <c r="A100" s="131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3"/>
      <c r="AY100" s="104">
        <v>2010</v>
      </c>
      <c r="AZ100" s="105" t="s">
        <v>169</v>
      </c>
      <c r="BA100" s="146"/>
      <c r="BB100" s="146"/>
      <c r="BC100" s="146"/>
      <c r="BD100" s="146"/>
      <c r="BE100" s="146">
        <f>30000-30000</f>
        <v>0</v>
      </c>
      <c r="BF100" s="146"/>
      <c r="BG100" s="208"/>
      <c r="BH100" s="92" t="s">
        <v>177</v>
      </c>
      <c r="BI100" s="98">
        <f>BE89+BE101</f>
        <v>145903.46</v>
      </c>
      <c r="BJ100" s="98">
        <f>BB60+BB69+BC81</f>
        <v>1824045.0300000003</v>
      </c>
      <c r="BK100" s="98">
        <f>BJ100-BI118</f>
        <v>1824045.0300000003</v>
      </c>
      <c r="BL100" s="140">
        <f>BI100+BJ100</f>
        <v>1969948.4900000002</v>
      </c>
    </row>
    <row r="101" spans="1:64" s="91" customFormat="1" ht="14.25" customHeight="1" x14ac:dyDescent="0.2">
      <c r="A101" s="131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3" t="s">
        <v>177</v>
      </c>
      <c r="AY101" s="104">
        <v>2011</v>
      </c>
      <c r="AZ101" s="105" t="s">
        <v>172</v>
      </c>
      <c r="BA101" s="146"/>
      <c r="BB101" s="146"/>
      <c r="BC101" s="146"/>
      <c r="BD101" s="146"/>
      <c r="BE101" s="146">
        <f>60000+68127.84+547.16</f>
        <v>128675</v>
      </c>
      <c r="BF101" s="146"/>
      <c r="BG101" s="208"/>
      <c r="BH101" s="92" t="s">
        <v>178</v>
      </c>
      <c r="BI101" s="98">
        <f>BE90+BE102</f>
        <v>52964.240000000005</v>
      </c>
      <c r="BJ101" s="98">
        <f>BB61+BB70</f>
        <v>932032</v>
      </c>
      <c r="BK101" s="98">
        <f>BJ101-BI119</f>
        <v>932032</v>
      </c>
      <c r="BL101" s="140">
        <f t="shared" ref="BL101:BL103" si="8">BI101+BJ101</f>
        <v>984996.24</v>
      </c>
    </row>
    <row r="102" spans="1:64" s="91" customFormat="1" ht="14.25" customHeight="1" x14ac:dyDescent="0.2">
      <c r="A102" s="131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3" t="s">
        <v>178</v>
      </c>
      <c r="AY102" s="104">
        <v>2011</v>
      </c>
      <c r="AZ102" s="105" t="s">
        <v>172</v>
      </c>
      <c r="BA102" s="146"/>
      <c r="BB102" s="146"/>
      <c r="BC102" s="146"/>
      <c r="BD102" s="146"/>
      <c r="BE102" s="146">
        <f>34000-130</f>
        <v>33870</v>
      </c>
      <c r="BF102" s="146"/>
      <c r="BG102" s="208"/>
      <c r="BH102" s="92" t="s">
        <v>179</v>
      </c>
      <c r="BI102" s="98">
        <f>BE91+BE103</f>
        <v>8040.5499999999993</v>
      </c>
      <c r="BJ102" s="98">
        <f>BB62+BB71+BC82</f>
        <v>46841.51</v>
      </c>
      <c r="BK102" s="98">
        <f>BJ102-BI120</f>
        <v>46841.51</v>
      </c>
      <c r="BL102" s="140">
        <f t="shared" si="8"/>
        <v>54882.06</v>
      </c>
    </row>
    <row r="103" spans="1:64" s="91" customFormat="1" ht="14.25" customHeight="1" x14ac:dyDescent="0.2">
      <c r="A103" s="131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3" t="s">
        <v>179</v>
      </c>
      <c r="AY103" s="104">
        <v>2011</v>
      </c>
      <c r="AZ103" s="105" t="s">
        <v>172</v>
      </c>
      <c r="BA103" s="146"/>
      <c r="BB103" s="146"/>
      <c r="BC103" s="146"/>
      <c r="BD103" s="146"/>
      <c r="BE103" s="146">
        <f>6000+97.69-57.16</f>
        <v>6040.53</v>
      </c>
      <c r="BF103" s="146"/>
      <c r="BG103" s="208"/>
      <c r="BH103" s="92"/>
      <c r="BI103" s="98">
        <f>SUM(BI100:BI102)</f>
        <v>206908.25</v>
      </c>
      <c r="BJ103" s="98">
        <f>SUM(BJ100:BJ102)</f>
        <v>2802918.54</v>
      </c>
      <c r="BK103" s="98">
        <f>SUM(BK100:BK102)</f>
        <v>2802918.54</v>
      </c>
      <c r="BL103" s="140">
        <f t="shared" si="8"/>
        <v>3009826.79</v>
      </c>
    </row>
    <row r="104" spans="1:64" s="91" customFormat="1" ht="14.25" customHeight="1" x14ac:dyDescent="0.2">
      <c r="A104" s="209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1"/>
      <c r="AY104" s="104">
        <v>2019</v>
      </c>
      <c r="AZ104" s="105" t="s">
        <v>163</v>
      </c>
      <c r="BA104" s="146"/>
      <c r="BB104" s="146"/>
      <c r="BC104" s="146"/>
      <c r="BD104" s="146"/>
      <c r="BE104" s="146">
        <f>10000+16472.32-160.8</f>
        <v>26311.52</v>
      </c>
      <c r="BF104" s="146"/>
      <c r="BG104" s="208"/>
      <c r="BH104" s="92"/>
      <c r="BI104" s="212">
        <f>BI103+BJ103</f>
        <v>3009826.79</v>
      </c>
      <c r="BJ104" s="213"/>
      <c r="BK104" s="140">
        <f>BK90-BI104</f>
        <v>0</v>
      </c>
    </row>
    <row r="105" spans="1:64" s="91" customFormat="1" ht="14.25" customHeight="1" x14ac:dyDescent="0.2">
      <c r="A105" s="209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1"/>
      <c r="AY105" s="104">
        <v>2019</v>
      </c>
      <c r="AZ105" s="105" t="s">
        <v>167</v>
      </c>
      <c r="BA105" s="146"/>
      <c r="BB105" s="146"/>
      <c r="BC105" s="146"/>
      <c r="BD105" s="146"/>
      <c r="BE105" s="146">
        <f>20000+40-7250-40</f>
        <v>12750</v>
      </c>
      <c r="BF105" s="146"/>
      <c r="BG105" s="208"/>
    </row>
    <row r="106" spans="1:64" s="91" customFormat="1" ht="14.25" customHeight="1" x14ac:dyDescent="0.2">
      <c r="A106" s="209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1"/>
      <c r="AY106" s="104">
        <v>2019</v>
      </c>
      <c r="AZ106" s="105" t="s">
        <v>168</v>
      </c>
      <c r="BA106" s="146"/>
      <c r="BB106" s="146"/>
      <c r="BC106" s="146"/>
      <c r="BD106" s="146"/>
      <c r="BE106" s="146">
        <f>99000+1109.7-40822.32-11764.92-8440</f>
        <v>39082.46</v>
      </c>
      <c r="BF106" s="146"/>
      <c r="BG106" s="208"/>
    </row>
    <row r="107" spans="1:64" s="91" customFormat="1" ht="14.25" customHeight="1" x14ac:dyDescent="0.2">
      <c r="A107" s="131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3"/>
      <c r="AY107" s="104">
        <f>2019</f>
        <v>2019</v>
      </c>
      <c r="AZ107" s="105" t="s">
        <v>180</v>
      </c>
      <c r="BA107" s="146"/>
      <c r="BB107" s="146"/>
      <c r="BC107" s="146"/>
      <c r="BD107" s="146"/>
      <c r="BE107" s="146">
        <f>20000-20000+25000</f>
        <v>25000</v>
      </c>
      <c r="BF107" s="146"/>
      <c r="BG107" s="208"/>
      <c r="BH107" s="99" t="s">
        <v>218</v>
      </c>
      <c r="BI107" s="99"/>
      <c r="BJ107" s="99"/>
    </row>
    <row r="108" spans="1:64" s="91" customFormat="1" ht="14.25" customHeight="1" x14ac:dyDescent="0.2">
      <c r="A108" s="209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  <c r="AG108" s="210"/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1"/>
      <c r="AY108" s="104">
        <v>2019</v>
      </c>
      <c r="AZ108" s="105" t="s">
        <v>169</v>
      </c>
      <c r="BA108" s="146"/>
      <c r="BB108" s="146"/>
      <c r="BC108" s="146"/>
      <c r="BD108" s="146"/>
      <c r="BE108" s="146">
        <f>13000+582.12+51600-5680.8-14288.28-16359.2</f>
        <v>28853.84</v>
      </c>
      <c r="BF108" s="146"/>
      <c r="BG108" s="208"/>
      <c r="BH108" s="100">
        <v>2001</v>
      </c>
      <c r="BI108" s="101">
        <v>62473.8</v>
      </c>
      <c r="BJ108" s="214">
        <f>BI108+BI109+BI110+BI111+BI112+BI113+BI114</f>
        <v>748946.67</v>
      </c>
    </row>
    <row r="109" spans="1:64" s="91" customFormat="1" ht="21.75" customHeight="1" x14ac:dyDescent="0.2">
      <c r="A109" s="209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  <c r="AG109" s="210"/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1"/>
      <c r="AY109" s="104">
        <f>2032</f>
        <v>2032</v>
      </c>
      <c r="AZ109" s="105" t="s">
        <v>169</v>
      </c>
      <c r="BA109" s="146"/>
      <c r="BB109" s="146"/>
      <c r="BC109" s="146"/>
      <c r="BD109" s="146"/>
      <c r="BE109" s="146">
        <v>0</v>
      </c>
      <c r="BF109" s="146"/>
      <c r="BG109" s="208"/>
      <c r="BH109" s="100">
        <v>2010</v>
      </c>
      <c r="BI109" s="101"/>
      <c r="BJ109" s="215"/>
    </row>
    <row r="110" spans="1:64" ht="12.75" x14ac:dyDescent="0.2">
      <c r="A110" s="6"/>
      <c r="B110" s="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8"/>
      <c r="AY110" s="8"/>
      <c r="AZ110" s="72"/>
      <c r="BA110" s="144"/>
      <c r="BB110" s="145"/>
      <c r="BC110" s="145"/>
      <c r="BD110" s="145"/>
      <c r="BE110" s="145"/>
      <c r="BF110" s="145"/>
      <c r="BH110" s="100">
        <v>2011</v>
      </c>
      <c r="BI110" s="101">
        <v>68225.53</v>
      </c>
      <c r="BJ110" s="215"/>
    </row>
    <row r="111" spans="1:64" ht="12.75" x14ac:dyDescent="0.2">
      <c r="A111" s="130"/>
      <c r="B111" s="13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8"/>
      <c r="AY111" s="8"/>
      <c r="AZ111" s="72"/>
      <c r="BA111" s="144"/>
      <c r="BB111" s="145"/>
      <c r="BC111" s="145"/>
      <c r="BD111" s="145"/>
      <c r="BE111" s="145"/>
      <c r="BF111" s="145"/>
      <c r="BH111" s="100">
        <v>2019</v>
      </c>
      <c r="BI111" s="101">
        <v>1731.82</v>
      </c>
      <c r="BJ111" s="215"/>
    </row>
    <row r="112" spans="1:64" ht="12.75" x14ac:dyDescent="0.2">
      <c r="A112" s="5"/>
      <c r="B112" s="217" t="s">
        <v>46</v>
      </c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8"/>
      <c r="AY112" s="8">
        <v>300</v>
      </c>
      <c r="AZ112" s="72" t="s">
        <v>28</v>
      </c>
      <c r="BA112" s="144">
        <f t="shared" ref="BA112:BA117" si="9">BB112+BC112+BD112+BF112</f>
        <v>0</v>
      </c>
      <c r="BB112" s="145"/>
      <c r="BC112" s="145"/>
      <c r="BD112" s="145"/>
      <c r="BE112" s="145"/>
      <c r="BF112" s="145"/>
      <c r="BH112" s="100">
        <f>2026</f>
        <v>2026</v>
      </c>
      <c r="BI112" s="101">
        <v>411</v>
      </c>
      <c r="BJ112" s="216"/>
    </row>
    <row r="113" spans="1:62" ht="12.75" x14ac:dyDescent="0.2">
      <c r="A113" s="6"/>
      <c r="B113" s="7"/>
      <c r="C113" s="217" t="s">
        <v>47</v>
      </c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8"/>
      <c r="AY113" s="8">
        <v>310</v>
      </c>
      <c r="AZ113" s="72"/>
      <c r="BA113" s="144">
        <f t="shared" si="9"/>
        <v>0</v>
      </c>
      <c r="BB113" s="145"/>
      <c r="BC113" s="145"/>
      <c r="BD113" s="145"/>
      <c r="BE113" s="145"/>
      <c r="BF113" s="145"/>
      <c r="BH113" s="100">
        <v>2021</v>
      </c>
      <c r="BI113" s="101"/>
      <c r="BJ113" s="107"/>
    </row>
    <row r="114" spans="1:62" ht="12.75" x14ac:dyDescent="0.2">
      <c r="A114" s="130"/>
      <c r="B114" s="137"/>
      <c r="C114" s="217" t="s">
        <v>48</v>
      </c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8"/>
      <c r="AY114" s="8">
        <v>320</v>
      </c>
      <c r="AZ114" s="72"/>
      <c r="BA114" s="144">
        <f t="shared" si="9"/>
        <v>0</v>
      </c>
      <c r="BB114" s="145"/>
      <c r="BC114" s="145"/>
      <c r="BD114" s="145"/>
      <c r="BE114" s="145"/>
      <c r="BF114" s="145"/>
      <c r="BH114" s="100">
        <v>4000</v>
      </c>
      <c r="BI114" s="101">
        <f>616104.52</f>
        <v>616104.52</v>
      </c>
      <c r="BJ114" s="107"/>
    </row>
    <row r="115" spans="1:62" ht="12.75" x14ac:dyDescent="0.2">
      <c r="A115" s="130"/>
      <c r="B115" s="137"/>
      <c r="C115" s="217" t="s">
        <v>49</v>
      </c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8"/>
      <c r="AY115" s="8">
        <v>400</v>
      </c>
      <c r="AZ115" s="72"/>
      <c r="BA115" s="144">
        <f t="shared" si="9"/>
        <v>0</v>
      </c>
      <c r="BB115" s="145"/>
      <c r="BC115" s="145"/>
      <c r="BD115" s="145"/>
      <c r="BE115" s="145"/>
      <c r="BF115" s="145"/>
      <c r="BH115" s="129"/>
      <c r="BI115" s="129"/>
      <c r="BJ115" s="129"/>
    </row>
    <row r="116" spans="1:62" ht="12.75" x14ac:dyDescent="0.2">
      <c r="A116" s="130"/>
      <c r="B116" s="137"/>
      <c r="C116" s="217" t="s">
        <v>50</v>
      </c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8"/>
      <c r="AY116" s="8">
        <v>410</v>
      </c>
      <c r="AZ116" s="72"/>
      <c r="BA116" s="144">
        <f t="shared" si="9"/>
        <v>0</v>
      </c>
      <c r="BB116" s="145"/>
      <c r="BC116" s="145"/>
      <c r="BD116" s="145"/>
      <c r="BE116" s="145"/>
      <c r="BF116" s="145"/>
      <c r="BH116" s="129"/>
      <c r="BI116" s="129"/>
      <c r="BJ116" s="129"/>
    </row>
    <row r="117" spans="1:62" ht="12.75" x14ac:dyDescent="0.2">
      <c r="A117" s="130"/>
      <c r="B117" s="137"/>
      <c r="C117" s="217" t="s">
        <v>51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8"/>
      <c r="AY117" s="8">
        <v>420</v>
      </c>
      <c r="AZ117" s="72"/>
      <c r="BA117" s="144">
        <f t="shared" si="9"/>
        <v>0</v>
      </c>
      <c r="BB117" s="145"/>
      <c r="BC117" s="145"/>
      <c r="BD117" s="145"/>
      <c r="BE117" s="145"/>
      <c r="BF117" s="145"/>
      <c r="BH117" s="126"/>
      <c r="BI117" s="127"/>
      <c r="BJ117" s="129"/>
    </row>
    <row r="118" spans="1:62" ht="12.75" x14ac:dyDescent="0.2">
      <c r="A118" s="130"/>
      <c r="B118" s="219" t="s">
        <v>22</v>
      </c>
      <c r="C118" s="220" t="s">
        <v>11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1"/>
      <c r="AY118" s="12" t="s">
        <v>23</v>
      </c>
      <c r="AZ118" s="72" t="s">
        <v>28</v>
      </c>
      <c r="BA118" s="144">
        <f>BB118+BC118+BD118+BE118</f>
        <v>748946.67</v>
      </c>
      <c r="BB118" s="148">
        <f>488717.38+127387.14</f>
        <v>616104.52</v>
      </c>
      <c r="BC118" s="148">
        <v>0</v>
      </c>
      <c r="BD118" s="148">
        <v>0</v>
      </c>
      <c r="BE118" s="148">
        <f>132842.15</f>
        <v>132842.15</v>
      </c>
      <c r="BF118" s="148">
        <v>0</v>
      </c>
      <c r="BH118" s="126"/>
      <c r="BI118" s="128"/>
      <c r="BJ118" s="129"/>
    </row>
    <row r="119" spans="1:62" ht="12.75" x14ac:dyDescent="0.2">
      <c r="A119" s="130"/>
      <c r="B119" s="204" t="s">
        <v>24</v>
      </c>
      <c r="C119" s="205" t="s">
        <v>11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135" t="s">
        <v>25</v>
      </c>
      <c r="AZ119" s="72" t="s">
        <v>28</v>
      </c>
      <c r="BA119" s="144">
        <f>BB119+BC119+BD119+BF119</f>
        <v>0</v>
      </c>
      <c r="BB119" s="145"/>
      <c r="BC119" s="145"/>
      <c r="BD119" s="145"/>
      <c r="BE119" s="145"/>
      <c r="BF119" s="145"/>
      <c r="BH119" s="126"/>
      <c r="BI119" s="128"/>
    </row>
    <row r="120" spans="1:62" ht="12.75" x14ac:dyDescent="0.2">
      <c r="A120" s="111"/>
      <c r="B120" s="11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5"/>
      <c r="AZ120" s="116"/>
      <c r="BA120" s="117"/>
      <c r="BB120" s="113"/>
      <c r="BC120" s="113"/>
      <c r="BD120" s="113"/>
      <c r="BE120" s="113"/>
      <c r="BF120" s="113"/>
      <c r="BH120" s="126"/>
      <c r="BI120" s="128"/>
    </row>
    <row r="121" spans="1:62" ht="12.75" x14ac:dyDescent="0.2">
      <c r="A121" s="111"/>
      <c r="B121" s="112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  <c r="AV121" s="114"/>
      <c r="AW121" s="114"/>
      <c r="AX121" s="114"/>
      <c r="AY121" s="115"/>
      <c r="AZ121" s="116"/>
      <c r="BA121" s="117"/>
      <c r="BB121" s="113"/>
      <c r="BC121" s="113"/>
      <c r="BD121" s="113"/>
      <c r="BE121" s="113"/>
      <c r="BF121" s="113"/>
      <c r="BH121" s="126"/>
      <c r="BI121" s="128"/>
    </row>
    <row r="122" spans="1:62" ht="12.75" x14ac:dyDescent="0.2">
      <c r="A122" s="206" t="s">
        <v>57</v>
      </c>
      <c r="B122" s="206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BA122" s="108">
        <f t="shared" ref="BA122:BF122" si="10">BA30-BA9-BA118</f>
        <v>1.7462298274040222E-9</v>
      </c>
      <c r="BB122" s="108">
        <f t="shared" si="10"/>
        <v>0</v>
      </c>
      <c r="BC122" s="108">
        <f t="shared" si="10"/>
        <v>2.3283064365386963E-10</v>
      </c>
      <c r="BD122" s="108">
        <f t="shared" si="10"/>
        <v>0</v>
      </c>
      <c r="BE122" s="108">
        <f t="shared" si="10"/>
        <v>0</v>
      </c>
      <c r="BF122" s="108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0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BG13:BG16"/>
    <mergeCell ref="B119:AX119"/>
    <mergeCell ref="A122:AX122"/>
    <mergeCell ref="C40:AX40"/>
    <mergeCell ref="C41:AX41"/>
    <mergeCell ref="C113:AX113"/>
    <mergeCell ref="C114:AX114"/>
    <mergeCell ref="C115:AX115"/>
    <mergeCell ref="C116:AX116"/>
    <mergeCell ref="C117:AX117"/>
    <mergeCell ref="B118:AX118"/>
    <mergeCell ref="A106:AX106"/>
    <mergeCell ref="A108:AX108"/>
    <mergeCell ref="A84:AX84"/>
    <mergeCell ref="A86:AX86"/>
    <mergeCell ref="A87:AX87"/>
    <mergeCell ref="A104:AX104"/>
    <mergeCell ref="B58:AX58"/>
    <mergeCell ref="A59:AX59"/>
    <mergeCell ref="A64:AX64"/>
    <mergeCell ref="A65:AX65"/>
    <mergeCell ref="A53:AX53"/>
    <mergeCell ref="C54:AX54"/>
    <mergeCell ref="A81:AX81"/>
    <mergeCell ref="BJ108:BJ112"/>
    <mergeCell ref="A109:AX109"/>
    <mergeCell ref="C110:AX110"/>
    <mergeCell ref="C111:AX111"/>
    <mergeCell ref="B112:AX112"/>
    <mergeCell ref="BI104:BJ104"/>
    <mergeCell ref="A105:AX105"/>
    <mergeCell ref="A66:AX67"/>
    <mergeCell ref="A78:AX78"/>
    <mergeCell ref="A79:AX79"/>
    <mergeCell ref="A80:AX80"/>
    <mergeCell ref="A68:AX68"/>
    <mergeCell ref="A69:AX69"/>
    <mergeCell ref="A70:AX70"/>
    <mergeCell ref="A71:AX71"/>
    <mergeCell ref="AY59:AY67"/>
    <mergeCell ref="BG59:BG109"/>
    <mergeCell ref="A60:AX60"/>
    <mergeCell ref="A61:AX61"/>
    <mergeCell ref="A62:AX62"/>
    <mergeCell ref="A63:AX63"/>
    <mergeCell ref="AY68:AY77"/>
    <mergeCell ref="A83:AX83"/>
    <mergeCell ref="A82:AX82"/>
    <mergeCell ref="C57:AX57"/>
    <mergeCell ref="A52:AX52"/>
    <mergeCell ref="C39:AX39"/>
    <mergeCell ref="C42:AX42"/>
    <mergeCell ref="B43:AX43"/>
    <mergeCell ref="C44:AX44"/>
    <mergeCell ref="C45:AX45"/>
    <mergeCell ref="C46:AX46"/>
    <mergeCell ref="C47:AX47"/>
    <mergeCell ref="A48:AX48"/>
    <mergeCell ref="B49:AX49"/>
    <mergeCell ref="C50:AX50"/>
    <mergeCell ref="A51:AX51"/>
    <mergeCell ref="C56:AX56"/>
    <mergeCell ref="C55:AX55"/>
    <mergeCell ref="A16:AX16"/>
    <mergeCell ref="A17:AX17"/>
    <mergeCell ref="B18:AX18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19:AX19"/>
    <mergeCell ref="B20:AX20"/>
    <mergeCell ref="A21:AX21"/>
    <mergeCell ref="A24:AX24"/>
    <mergeCell ref="A23:AX23"/>
    <mergeCell ref="A85:AX85"/>
    <mergeCell ref="BG54:BK54"/>
    <mergeCell ref="B37:AX37"/>
    <mergeCell ref="B38:AX38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2:AX22"/>
    <mergeCell ref="A14:AX14"/>
    <mergeCell ref="A15:AX15"/>
  </mergeCells>
  <pageMargins left="0.25" right="0.25" top="0.75" bottom="0.75" header="0.3" footer="0.3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2018-12-07T09:58:44Z</cp:lastPrinted>
  <dcterms:created xsi:type="dcterms:W3CDTF">2016-04-19T05:14:21Z</dcterms:created>
  <dcterms:modified xsi:type="dcterms:W3CDTF">2018-12-07T09:58:45Z</dcterms:modified>
</cp:coreProperties>
</file>