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6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'3'!$A$107</definedName>
    <definedName name="IS_DOCUMENT" localSheetId="3">'3 (2)'!$A$46</definedName>
    <definedName name="IS_DOCUMENT" localSheetId="4">'3 (3)'!$A$47</definedName>
    <definedName name="_xlnm.Print_Area" localSheetId="1">'2'!$A$1:$C$26</definedName>
    <definedName name="_xlnm.Print_Area" localSheetId="2">'3'!$A$1:$BF$133</definedName>
    <definedName name="_xlnm.Print_Area" localSheetId="3">'3 (2)'!$A$1:$BF$47</definedName>
    <definedName name="_xlnm.Print_Area" localSheetId="4">'3 (3)'!$A$1:$BF$47</definedName>
    <definedName name="_xlnm.Print_Area" localSheetId="5">'4'!$A$1:$L$29</definedName>
    <definedName name="_xlnm.Print_Area" localSheetId="6">'5'!$A$1:$C$37</definedName>
    <definedName name="_xlnm.Print_Area" localSheetId="0">тит!$A$1:$DY$38</definedName>
  </definedNames>
  <calcPr calcId="144525"/>
</workbook>
</file>

<file path=xl/calcChain.xml><?xml version="1.0" encoding="utf-8"?>
<calcChain xmlns="http://schemas.openxmlformats.org/spreadsheetml/2006/main">
  <c r="BE48" i="2" l="1"/>
  <c r="BE103" i="2"/>
  <c r="BE58" i="2"/>
  <c r="BE104" i="2" l="1"/>
  <c r="BC92" i="2"/>
  <c r="BC49" i="2"/>
  <c r="BC48" i="2"/>
  <c r="BC18" i="2"/>
  <c r="BE107" i="2" l="1"/>
  <c r="BB75" i="2" l="1"/>
  <c r="BB38" i="2"/>
  <c r="BB40" i="2"/>
  <c r="BE105" i="2"/>
  <c r="BE31" i="2"/>
  <c r="BE26" i="2"/>
  <c r="BJ104" i="2" l="1"/>
  <c r="BC47" i="2"/>
  <c r="BE47" i="2"/>
  <c r="BB35" i="2"/>
  <c r="BE37" i="2"/>
  <c r="BE35" i="2" s="1"/>
  <c r="BE102" i="2" l="1"/>
  <c r="BE101" i="2"/>
  <c r="BB72" i="2"/>
  <c r="BB70" i="2"/>
  <c r="BB69" i="2"/>
  <c r="C24" i="4" l="1"/>
  <c r="C21" i="4"/>
  <c r="C20" i="4"/>
  <c r="C19" i="4"/>
  <c r="C16" i="4"/>
  <c r="C14" i="4"/>
  <c r="C13" i="4"/>
  <c r="C12" i="4"/>
  <c r="C10" i="4"/>
  <c r="C9" i="4"/>
  <c r="C7" i="4"/>
  <c r="C6" i="4"/>
  <c r="BB85" i="2" l="1"/>
  <c r="BB79" i="2"/>
  <c r="BB34" i="2"/>
  <c r="BB30" i="2"/>
  <c r="BB82" i="2" l="1"/>
  <c r="BB81" i="2"/>
  <c r="BB80" i="2"/>
  <c r="BJ103" i="2" s="1"/>
  <c r="BJ108" i="2" l="1"/>
  <c r="BB84" i="2"/>
  <c r="BB83" i="2" l="1"/>
  <c r="I19" i="5" l="1"/>
  <c r="H19" i="5"/>
  <c r="BB52" i="2"/>
  <c r="BB59" i="2"/>
  <c r="BB39" i="2"/>
  <c r="BJ111" i="2" l="1"/>
  <c r="BB27" i="2"/>
  <c r="BB26" i="2" s="1"/>
  <c r="BE96" i="2"/>
  <c r="BI101" i="2" s="1"/>
  <c r="BE123" i="2"/>
  <c r="BI108" i="2"/>
  <c r="BE120" i="2"/>
  <c r="BE118" i="2"/>
  <c r="BE117" i="2"/>
  <c r="BE10" i="2"/>
  <c r="BI113" i="2"/>
  <c r="BJ113" i="2"/>
  <c r="BJ112" i="2"/>
  <c r="BI112" i="2"/>
  <c r="BJ110" i="2"/>
  <c r="BI110" i="2"/>
  <c r="BJ109" i="2"/>
  <c r="BI109" i="2"/>
  <c r="BI107" i="2"/>
  <c r="BI106" i="2"/>
  <c r="BJ101" i="2"/>
  <c r="F12" i="5"/>
  <c r="H12" i="5"/>
  <c r="I12" i="5"/>
  <c r="J12" i="5"/>
  <c r="K12" i="5"/>
  <c r="L12" i="5"/>
  <c r="E12" i="5"/>
  <c r="BK113" i="2" l="1"/>
  <c r="D19" i="5" s="1"/>
  <c r="G19" i="5" s="1"/>
  <c r="BI105" i="2"/>
  <c r="BK110" i="2"/>
  <c r="D24" i="5" s="1"/>
  <c r="G24" i="5" s="1"/>
  <c r="BK109" i="2"/>
  <c r="D23" i="5" s="1"/>
  <c r="G23" i="5" s="1"/>
  <c r="BK112" i="2"/>
  <c r="D27" i="5" s="1"/>
  <c r="G27" i="5" s="1"/>
  <c r="F30" i="5"/>
  <c r="F25" i="5"/>
  <c r="F18" i="5"/>
  <c r="F17" i="5"/>
  <c r="F16" i="5"/>
  <c r="F14" i="5"/>
  <c r="BA47" i="8"/>
  <c r="BA46" i="8"/>
  <c r="BA45" i="8"/>
  <c r="BA44" i="8"/>
  <c r="BA43" i="8"/>
  <c r="BA42" i="8"/>
  <c r="BA41" i="8"/>
  <c r="BA40" i="8"/>
  <c r="BE37" i="8"/>
  <c r="BB37" i="8"/>
  <c r="BA37" i="8" s="1"/>
  <c r="BA36" i="8"/>
  <c r="BA33" i="8"/>
  <c r="BB32" i="8"/>
  <c r="BA32" i="8" s="1"/>
  <c r="BA29" i="8" s="1"/>
  <c r="BA31" i="8"/>
  <c r="BF29" i="8"/>
  <c r="BE29" i="8"/>
  <c r="BD29" i="8"/>
  <c r="BC29" i="8"/>
  <c r="BB29" i="8"/>
  <c r="BA28" i="8"/>
  <c r="BF26" i="8"/>
  <c r="BE26" i="8"/>
  <c r="BD26" i="8"/>
  <c r="BC26" i="8"/>
  <c r="BB26" i="8"/>
  <c r="BA26" i="8"/>
  <c r="BA24" i="8"/>
  <c r="BA23" i="8"/>
  <c r="BB22" i="8"/>
  <c r="BA22" i="8"/>
  <c r="BF21" i="8"/>
  <c r="BF20" i="8" s="1"/>
  <c r="BF19" i="8" s="1"/>
  <c r="BF48" i="8" s="1"/>
  <c r="BE21" i="8"/>
  <c r="BE20" i="8" s="1"/>
  <c r="BE19" i="8" s="1"/>
  <c r="BE48" i="8" s="1"/>
  <c r="BD21" i="8"/>
  <c r="BC21" i="8"/>
  <c r="BB21" i="8"/>
  <c r="BB20" i="8" s="1"/>
  <c r="BB19" i="8" s="1"/>
  <c r="BB48" i="8" s="1"/>
  <c r="BA21" i="8"/>
  <c r="BA20" i="8" s="1"/>
  <c r="BA19" i="8" s="1"/>
  <c r="BD20" i="8"/>
  <c r="BD19" i="8" s="1"/>
  <c r="BD48" i="8" s="1"/>
  <c r="BC20" i="8"/>
  <c r="BC19" i="8" s="1"/>
  <c r="BA17" i="8"/>
  <c r="BA16" i="8"/>
  <c r="BC15" i="8"/>
  <c r="BA15" i="8" s="1"/>
  <c r="BA14" i="8"/>
  <c r="BE13" i="8"/>
  <c r="BA13" i="8"/>
  <c r="BE12" i="8"/>
  <c r="BA12" i="8" s="1"/>
  <c r="BB11" i="8"/>
  <c r="BA11" i="8"/>
  <c r="BA10" i="8"/>
  <c r="BF9" i="8"/>
  <c r="BE9" i="8"/>
  <c r="BD9" i="8"/>
  <c r="BB9" i="8"/>
  <c r="BC15" i="7"/>
  <c r="BC9" i="7" s="1"/>
  <c r="BC9" i="2"/>
  <c r="BA9" i="8" l="1"/>
  <c r="BG9" i="8" s="1"/>
  <c r="BC9" i="8"/>
  <c r="BC48" i="8" s="1"/>
  <c r="BA133" i="2"/>
  <c r="BA132" i="2"/>
  <c r="BA131" i="2"/>
  <c r="BA130" i="2"/>
  <c r="BA129" i="2"/>
  <c r="BA128" i="2"/>
  <c r="BA127" i="2"/>
  <c r="BH126" i="2"/>
  <c r="BA126" i="2"/>
  <c r="BJ122" i="2"/>
  <c r="BE116" i="2"/>
  <c r="BJ133" i="2"/>
  <c r="BE115" i="2"/>
  <c r="BI132" i="2" s="1"/>
  <c r="BJ132" i="2"/>
  <c r="BE114" i="2"/>
  <c r="BJ131" i="2"/>
  <c r="BE113" i="2"/>
  <c r="BE109" i="2"/>
  <c r="BI104" i="2" s="1"/>
  <c r="BC90" i="2"/>
  <c r="BJ105" i="2" s="1"/>
  <c r="BC89" i="2"/>
  <c r="BJ102" i="2" s="1"/>
  <c r="BB63" i="2"/>
  <c r="BA62" i="2"/>
  <c r="BE57" i="2"/>
  <c r="BB57" i="2"/>
  <c r="BE56" i="2"/>
  <c r="BE53" i="2" s="1"/>
  <c r="BB53" i="2"/>
  <c r="BB50" i="2"/>
  <c r="BA50" i="2" s="1"/>
  <c r="BA47" i="2"/>
  <c r="BF45" i="2"/>
  <c r="BD45" i="2"/>
  <c r="BC45" i="2"/>
  <c r="BA44" i="2"/>
  <c r="BA42" i="2" s="1"/>
  <c r="BF42" i="2"/>
  <c r="BE42" i="2"/>
  <c r="BD42" i="2"/>
  <c r="BC42" i="2"/>
  <c r="BB42" i="2"/>
  <c r="BA39" i="2"/>
  <c r="BA35" i="2"/>
  <c r="B33" i="2"/>
  <c r="B32" i="2"/>
  <c r="BB31" i="2"/>
  <c r="BF25" i="2"/>
  <c r="BF24" i="2" s="1"/>
  <c r="BD25" i="2"/>
  <c r="BD24" i="2" s="1"/>
  <c r="BC25" i="2"/>
  <c r="BC24" i="2" s="1"/>
  <c r="BA22" i="2"/>
  <c r="BA18" i="2"/>
  <c r="BA17" i="2"/>
  <c r="BE16" i="2"/>
  <c r="BA16" i="2" s="1"/>
  <c r="BA15" i="2"/>
  <c r="BE11" i="2"/>
  <c r="BB11" i="2"/>
  <c r="BB9" i="2" s="1"/>
  <c r="BA10" i="2"/>
  <c r="BF9" i="2"/>
  <c r="BD9" i="2"/>
  <c r="BI111" i="2" l="1"/>
  <c r="BK111" i="2" s="1"/>
  <c r="D25" i="5" s="1"/>
  <c r="G25" i="5" s="1"/>
  <c r="BI103" i="2"/>
  <c r="BI114" i="2" s="1"/>
  <c r="BJ114" i="2"/>
  <c r="BI131" i="2"/>
  <c r="BL113" i="2" s="1"/>
  <c r="BA26" i="2"/>
  <c r="BL114" i="2"/>
  <c r="BC63" i="2"/>
  <c r="BC23" i="2" s="1"/>
  <c r="BC136" i="2" s="1"/>
  <c r="BE45" i="2"/>
  <c r="BA57" i="2"/>
  <c r="BA48" i="8"/>
  <c r="BF23" i="2"/>
  <c r="BF136" i="2" s="1"/>
  <c r="BA31" i="2"/>
  <c r="BK102" i="2"/>
  <c r="D26" i="5" s="1"/>
  <c r="G26" i="5" s="1"/>
  <c r="BK104" i="2"/>
  <c r="D17" i="5" s="1"/>
  <c r="G17" i="5" s="1"/>
  <c r="BE9" i="2"/>
  <c r="BE63" i="2"/>
  <c r="BK106" i="2"/>
  <c r="D20" i="5" s="1"/>
  <c r="G20" i="5" s="1"/>
  <c r="BK108" i="2"/>
  <c r="D22" i="5" s="1"/>
  <c r="G22" i="5" s="1"/>
  <c r="BJ134" i="2"/>
  <c r="BK107" i="2"/>
  <c r="D21" i="5" s="1"/>
  <c r="G21" i="5" s="1"/>
  <c r="BA53" i="2"/>
  <c r="BA19" i="2"/>
  <c r="BD23" i="2"/>
  <c r="BD136" i="2" s="1"/>
  <c r="BK101" i="2"/>
  <c r="D14" i="5" s="1"/>
  <c r="BK105" i="2"/>
  <c r="D18" i="5" s="1"/>
  <c r="G18" i="5" s="1"/>
  <c r="BI133" i="2"/>
  <c r="BL115" i="2" s="1"/>
  <c r="BA11" i="2"/>
  <c r="BA9" i="2" s="1"/>
  <c r="BE25" i="2"/>
  <c r="BE24" i="2" s="1"/>
  <c r="BB45" i="2"/>
  <c r="BB25" i="2"/>
  <c r="BB24" i="2" s="1"/>
  <c r="BI115" i="2" l="1"/>
  <c r="BJ115" i="2"/>
  <c r="BA25" i="2"/>
  <c r="BA24" i="2" s="1"/>
  <c r="BA63" i="2"/>
  <c r="BE23" i="2"/>
  <c r="BE136" i="2" s="1"/>
  <c r="BB23" i="2"/>
  <c r="BB136" i="2" s="1"/>
  <c r="BA45" i="2"/>
  <c r="BK103" i="2"/>
  <c r="BI134" i="2"/>
  <c r="BL116" i="2" s="1"/>
  <c r="BA23" i="2" l="1"/>
  <c r="BA136" i="2" s="1"/>
  <c r="BK114" i="2"/>
  <c r="BK115" i="2" s="1"/>
  <c r="D16" i="5"/>
  <c r="D12" i="5" s="1"/>
  <c r="D30" i="5" s="1"/>
  <c r="BI135" i="2"/>
  <c r="BG7" i="2" l="1"/>
  <c r="E18" i="5"/>
  <c r="E25" i="5"/>
  <c r="E17" i="5"/>
  <c r="E16" i="5"/>
  <c r="E14" i="5"/>
  <c r="BE37" i="7"/>
  <c r="BC26" i="7"/>
  <c r="BB37" i="7"/>
  <c r="BB32" i="7"/>
  <c r="BB22" i="7"/>
  <c r="BB11" i="7"/>
  <c r="BA47" i="7" l="1"/>
  <c r="BA46" i="7"/>
  <c r="BA45" i="7"/>
  <c r="BA44" i="7"/>
  <c r="BA43" i="7"/>
  <c r="BA42" i="7"/>
  <c r="BA41" i="7"/>
  <c r="BA40" i="7"/>
  <c r="BA37" i="7"/>
  <c r="BA36" i="7"/>
  <c r="BA33" i="7"/>
  <c r="BA32" i="7"/>
  <c r="BA31" i="7"/>
  <c r="BF29" i="7"/>
  <c r="BE29" i="7"/>
  <c r="BD29" i="7"/>
  <c r="BC29" i="7"/>
  <c r="BB29" i="7"/>
  <c r="BA28" i="7"/>
  <c r="BA26" i="7" s="1"/>
  <c r="BF26" i="7"/>
  <c r="BE26" i="7"/>
  <c r="BD26" i="7"/>
  <c r="BB26" i="7"/>
  <c r="BA24" i="7"/>
  <c r="BE21" i="7"/>
  <c r="BE20" i="7" s="1"/>
  <c r="BA23" i="7"/>
  <c r="BA22" i="7"/>
  <c r="BF21" i="7"/>
  <c r="BF20" i="7" s="1"/>
  <c r="BF19" i="7" s="1"/>
  <c r="BD21" i="7"/>
  <c r="BD20" i="7" s="1"/>
  <c r="BC21" i="7"/>
  <c r="BB21" i="7"/>
  <c r="BB20" i="7" s="1"/>
  <c r="BC20" i="7"/>
  <c r="BC19" i="7" s="1"/>
  <c r="BA17" i="7"/>
  <c r="BA16" i="7"/>
  <c r="BA15" i="7"/>
  <c r="BA14" i="7"/>
  <c r="BE13" i="7"/>
  <c r="BA13" i="7" s="1"/>
  <c r="BE12" i="7"/>
  <c r="BA12" i="7"/>
  <c r="BA11" i="7"/>
  <c r="BA10" i="7"/>
  <c r="BF9" i="7"/>
  <c r="BE9" i="7"/>
  <c r="BD9" i="7"/>
  <c r="BA9" i="7" l="1"/>
  <c r="BD19" i="7"/>
  <c r="BD48" i="7" s="1"/>
  <c r="BE19" i="7"/>
  <c r="BE48" i="7" s="1"/>
  <c r="BF48" i="7"/>
  <c r="BA29" i="7"/>
  <c r="BB19" i="7"/>
  <c r="BA21" i="7"/>
  <c r="BA20" i="7" s="1"/>
  <c r="BA19" i="7" s="1"/>
  <c r="BC48" i="7"/>
  <c r="BB9" i="7"/>
  <c r="BB48" i="7" l="1"/>
  <c r="BG9" i="7"/>
  <c r="BA48" i="7"/>
  <c r="I25" i="5" l="1"/>
  <c r="I18" i="5"/>
  <c r="I16" i="5"/>
  <c r="H17" i="5"/>
  <c r="H16" i="5"/>
  <c r="I21" i="5"/>
  <c r="I20" i="5"/>
  <c r="I17" i="5"/>
  <c r="I15" i="5"/>
  <c r="I14" i="5"/>
  <c r="H25" i="5"/>
  <c r="H21" i="5"/>
  <c r="H20" i="5"/>
  <c r="H18" i="5"/>
  <c r="H15" i="5"/>
  <c r="E30" i="5" l="1"/>
  <c r="H14" i="5"/>
  <c r="G15" i="5" l="1"/>
  <c r="G14" i="5" l="1"/>
  <c r="G16" i="5" l="1"/>
  <c r="G12" i="5" s="1"/>
</calcChain>
</file>

<file path=xl/comments1.xml><?xml version="1.0" encoding="utf-8"?>
<comments xmlns="http://schemas.openxmlformats.org/spreadsheetml/2006/main">
  <authors>
    <author>глав.бух.</author>
  </authors>
  <commentList>
    <comment ref="F30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<sst xmlns="http://schemas.openxmlformats.org/spreadsheetml/2006/main" count="602" uniqueCount="285">
  <si>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</si>
  <si>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</si>
  <si>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</si>
  <si>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</si>
  <si>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</si>
  <si>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</si>
  <si>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</si>
  <si>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</si>
  <si>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</si>
  <si>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</si>
  <si>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</si>
  <si>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</si>
  <si>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</si>
  <si>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</si>
  <si>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</si>
  <si>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</si>
  <si>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</si>
  <si>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</si>
  <si>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</si>
  <si>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</si>
  <si>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</si>
  <si>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</si>
  <si>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</si>
  <si>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</si>
  <si>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</si>
  <si>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</si>
  <si>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</si>
  <si>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</si>
  <si>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</si>
  <si>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</si>
  <si>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</si>
  <si>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</si>
  <si>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</si>
  <si>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</si>
  <si>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</si>
  <si>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</si>
  <si>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</si>
  <si>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</si>
  <si>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</si>
  <si>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</si>
  <si>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</si>
  <si>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</si>
  <si>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</si>
  <si>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</si>
  <si>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</si>
  <si>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</si>
  <si>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</si>
  <si>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</si>
  <si>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</si>
  <si>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</si>
  <si>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</si>
  <si>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</si>
  <si>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</si>
  <si>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</si>
  <si>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</si>
  <si>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</si>
  <si>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</si>
  <si>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</si>
  <si>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</si>
  <si>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</si>
  <si>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</si>
  <si>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</si>
  <si>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</si>
  <si>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</si>
  <si>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</si>
  <si>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</si>
  <si>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</si>
  <si>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</si>
  <si>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</si>
  <si>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</si>
  <si>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</si>
  <si>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</si>
  <si>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</si>
  <si>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</si>
  <si>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</si>
  <si>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</si>
  <si>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</si>
  <si>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</si>
  <si>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</si>
  <si>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</si>
  <si>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</si>
  <si>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</si>
  <si>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</si>
  <si>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</si>
  <si>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</si>
  <si>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</si>
  <si>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</si>
  <si>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</si>
  <si>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</si>
  <si>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</si>
  <si>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</si>
  <si>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</si>
  <si>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</si>
  <si>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</si>
  <si>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</si>
  <si>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</si>
  <si>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</si>
  <si>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</si>
  <si>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</si>
  <si>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</si>
  <si>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</si>
  <si>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</si>
  <si>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</si>
  <si>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</si>
  <si>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</si>
  <si>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</si>
  <si>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</si>
  <si>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</si>
  <si>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</si>
  <si>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</si>
  <si>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</si>
  <si>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</si>
  <si>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</si>
  <si>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</si>
  <si>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</si>
  <si>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</si>
  <si>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</si>
  <si>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</si>
  <si>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</si>
  <si>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</si>
  <si>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</si>
  <si>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</si>
  <si>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</si>
  <si>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</si>
  <si>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</si>
  <si>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</si>
  <si>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</si>
  <si>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</si>
  <si>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</si>
  <si>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</si>
  <si>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</si>
  <si>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</si>
  <si>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</si>
  <si>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</si>
  <si>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</si>
  <si>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</si>
  <si>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</si>
  <si>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</si>
  <si>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</si>
  <si>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</si>
  <si>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</si>
  <si>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</si>
  <si>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</si>
  <si>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</si>
  <si>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</si>
  <si>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</si>
  <si>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</si>
  <si>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</si>
  <si>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</si>
  <si>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</si>
  <si>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</si>
  <si>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</si>
  <si>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косгу 213 налоги с ЗП</t>
  </si>
  <si>
    <t>221</t>
  </si>
  <si>
    <t>223 т/э</t>
  </si>
  <si>
    <t>223 э/э</t>
  </si>
  <si>
    <t>223 вода</t>
  </si>
  <si>
    <t>225</t>
  </si>
  <si>
    <t>226</t>
  </si>
  <si>
    <t>223</t>
  </si>
  <si>
    <t>т/э</t>
  </si>
  <si>
    <t>э/э</t>
  </si>
  <si>
    <t>вода</t>
  </si>
  <si>
    <t>310</t>
  </si>
  <si>
    <t>внебюджет</t>
  </si>
  <si>
    <t>4+5</t>
  </si>
  <si>
    <t>ТЭР 223</t>
  </si>
  <si>
    <t>"_____" ________________ 20___ г.</t>
  </si>
  <si>
    <t>к4199</t>
  </si>
  <si>
    <t>оф.сор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</si>
  <si>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</si>
  <si>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</si>
  <si>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</si>
  <si>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</si>
  <si>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</si>
  <si>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</si>
  <si>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</si>
  <si>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</si>
  <si>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</si>
  <si>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</si>
  <si>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ОСТАТКИ НА 01.01.18</t>
  </si>
  <si>
    <t>косгу 211</t>
  </si>
  <si>
    <t>косгу 213</t>
  </si>
  <si>
    <t>косгу 291 - налог на имущество</t>
  </si>
  <si>
    <t>121</t>
  </si>
  <si>
    <t>131</t>
  </si>
  <si>
    <t>143</t>
  </si>
  <si>
    <t>189</t>
  </si>
  <si>
    <t>МЗ 4000, 4291, код субсидии 2001</t>
  </si>
  <si>
    <t>135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</si>
  <si>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</si>
  <si>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+ иные</t>
  </si>
  <si>
    <t>296</t>
  </si>
  <si>
    <t>ЦЕЛЕВЫЕ</t>
  </si>
  <si>
    <t>2010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</si>
  <si>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2019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</si>
  <si>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2021 г.</t>
    </r>
  </si>
  <si>
    <t>на   ____.______.2019г.</t>
  </si>
  <si>
    <t>на  _____.____.2019 г.</t>
  </si>
  <si>
    <t>266</t>
  </si>
  <si>
    <t>косгу 266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</si>
  <si>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</si>
  <si>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</si>
  <si>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</si>
  <si>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дотация</t>
  </si>
  <si>
    <t>346</t>
  </si>
  <si>
    <t>349</t>
  </si>
  <si>
    <t>152</t>
  </si>
  <si>
    <t>косгу 212</t>
  </si>
  <si>
    <t>на 01.01.2019г.</t>
  </si>
  <si>
    <t>План финансово-хозяйственной деятельности на 2019 год 
и плановый период 2020-2021 г.г</t>
  </si>
  <si>
    <t>доходы от оказания платных улуг (работ)</t>
  </si>
  <si>
    <t>доходы по условным арендным платежам</t>
  </si>
  <si>
    <t>страховые возмещения</t>
  </si>
  <si>
    <t>безвозмездные денежные поступления от наднациональных организаций, правительств иностранных государств, международных финансовых организаций</t>
  </si>
  <si>
    <t>иные доходы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</si>
  <si>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</si>
  <si>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уреждений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</si>
  <si>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</si>
  <si>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</si>
  <si>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Увеличение стоимости прочих оборотных запасов (материалов) КОСГУ 346</t>
  </si>
  <si>
    <t>поступления текущего характера бюджетным и автономным учреждениям от сектора государственного управления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</si>
  <si>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</si>
  <si>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</si>
  <si>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уплата прочих налогов, сборов</t>
  </si>
  <si>
    <t>уплата иных платежей</t>
  </si>
  <si>
    <t>прочая закупка товаров, работ и услуг</t>
  </si>
  <si>
    <t>Руководитель управления физической культуры и спорта администрации городского округа Тольятти</t>
  </si>
  <si>
    <t>А.Е. Герунов</t>
  </si>
  <si>
    <t>Увеличение стоимости мягкого инвентаря КОСГУ 345</t>
  </si>
  <si>
    <t>Увеличение стоимости горюче-смазочных материалов КОСГУ 343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</si>
  <si>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КОСГУ 353</t>
  </si>
  <si>
    <t>Увеличение стоимости строительных материалов КОСГУ 344</t>
  </si>
  <si>
    <t>квр 244 по косгу</t>
  </si>
  <si>
    <t>353</t>
  </si>
  <si>
    <t>344</t>
  </si>
  <si>
    <t>343</t>
  </si>
  <si>
    <t>227</t>
  </si>
  <si>
    <t>345</t>
  </si>
  <si>
    <t>косгу 211+266  зп</t>
  </si>
  <si>
    <t xml:space="preserve">Увеличение стоимости прочих материальных запасов однократного применения КОСГУ 349 </t>
  </si>
  <si>
    <t>мз КОСГУ 211</t>
  </si>
  <si>
    <t>К4199 ВЫЕЗДНЫЕ СОРЕВН - КОСГУ 226</t>
  </si>
  <si>
    <t>К4199 выездн.соревнования - КОСГУ 226</t>
  </si>
  <si>
    <t>к.4199</t>
  </si>
  <si>
    <t>к.4000</t>
  </si>
  <si>
    <t>к4000 транспортный</t>
  </si>
  <si>
    <t>к4000 госпошлины+экология</t>
  </si>
  <si>
    <t>к4199 транспортный</t>
  </si>
  <si>
    <t>К4000  ВЫЕЗДНЫЕ СОРЕВН - КОСГУ 226</t>
  </si>
  <si>
    <t>Страхование КОСГУ 227</t>
  </si>
  <si>
    <t>МЗ КОСГУ 266 бл</t>
  </si>
  <si>
    <t>223ТКО</t>
  </si>
  <si>
    <t>ТКО</t>
  </si>
  <si>
    <t>Директор
МБУДО СДЮСШОР № 4 "Шахматы"</t>
  </si>
  <si>
    <t>Г.Р. Салахова</t>
  </si>
  <si>
    <t>форма 730= (стр.190)</t>
  </si>
  <si>
    <t>формы 768= (стр.311)</t>
  </si>
  <si>
    <t>формы 768=( стр.311-стр.321)</t>
  </si>
  <si>
    <t>формы 768= (стр.312)</t>
  </si>
  <si>
    <t>формы 768=(стр.312- стр.322)</t>
  </si>
  <si>
    <t xml:space="preserve"> форма 730 =(стр.340)</t>
  </si>
  <si>
    <t xml:space="preserve"> форма 730=( стр.200)</t>
  </si>
  <si>
    <t>форма 730=( стр.201)</t>
  </si>
  <si>
    <t xml:space="preserve"> форма 730 =(стр.250 - стр.470)</t>
  </si>
  <si>
    <t xml:space="preserve"> форма 730= (стр.260+стр.270+стр.280)</t>
  </si>
  <si>
    <t>форма 730=( стр.550)</t>
  </si>
  <si>
    <t>форма 730=(стр.410+ стр.420)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</si>
  <si>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</si>
  <si>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3 831 955,45руб.
в том числе:
- балансовая стоимость особо ценного движимого имущества: 3 221 653,47руб.
</t>
  </si>
  <si>
    <t>налог на прибыль - резерная сумма - в конце года убираем?!</t>
  </si>
  <si>
    <t>косгу 293</t>
  </si>
  <si>
    <t>по требованию -пени тэку, самараэнерго ИФО 2001</t>
  </si>
  <si>
    <t>2019 - аренда</t>
  </si>
  <si>
    <t>4000, 4291, 2001</t>
  </si>
  <si>
    <t>ИФО 2001 - налог на прибыль /  2006, 2009, 2010, 2026</t>
  </si>
  <si>
    <t>К2001 КОМАНДИРОВКИ
 КОСГУ 226 - 27 133,00
КОСГУ 212 -  2 500,00</t>
  </si>
  <si>
    <t>КОМАНДРОВКИ сотрудники</t>
  </si>
  <si>
    <t>косгу 297 - возм.судебн.расходов - госпошлина по иску</t>
  </si>
  <si>
    <t>косгу 293 - % по исп.докам</t>
  </si>
  <si>
    <t>К4000  ВЫЕЗДНЫЕ СОРЕВН - 
КОСГУ 226 - 37520
КОСГУ 212 -2900</t>
  </si>
  <si>
    <t>с одним дес.знаком после запятой!!!</t>
  </si>
  <si>
    <t>косгу 293, 292</t>
  </si>
  <si>
    <t>косгу 292</t>
  </si>
  <si>
    <t>штраф пфр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</si>
</sst>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  <numFmt numFmtId="167" formatCode="_-* #,##0.0\ _₽_-;\-* #,##0.0\ _₽_-;_-* &quot;-&quot;?\ _₽_-;_-@_-"/>
  </numFmts>
  <fonts count="31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1" fillId="4" borderId="3" xfId="0" applyFont="1" applyFill="1" applyBorder="1" applyAlignment="1" applyProtection="1">
      <alignment horizontal="center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4" fillId="2" borderId="15" xfId="0" applyNumberFormat="1" applyFont="1" applyFill="1" applyBorder="1" applyAlignment="1" applyProtection="1">
      <alignment horizontal="center" vertical="center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center" vertical="center"/>
    </xf>
    <xf numFmtId="164" fontId="25" fillId="4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center"/>
    </xf>
    <xf numFmtId="164" fontId="25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0" borderId="15" xfId="0" applyFont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4" fontId="4" fillId="0" borderId="0" xfId="0" applyNumberFormat="1" applyFont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3" fontId="4" fillId="4" borderId="0" xfId="0" applyNumberFormat="1" applyFont="1" applyFill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9" fillId="0" borderId="0" xfId="0" applyFont="1"/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/>
    <xf numFmtId="4" fontId="9" fillId="0" borderId="0" xfId="0" applyNumberFormat="1" applyFont="1" applyFill="1" applyBorder="1" applyAlignment="1">
      <alignment vertical="top" wrapText="1"/>
    </xf>
    <xf numFmtId="167" fontId="9" fillId="0" borderId="15" xfId="0" applyNumberFormat="1" applyFont="1" applyBorder="1" applyAlignment="1">
      <alignment vertical="top" wrapText="1"/>
    </xf>
    <xf numFmtId="167" fontId="14" fillId="0" borderId="15" xfId="0" applyNumberFormat="1" applyFont="1" applyBorder="1" applyAlignment="1">
      <alignment vertical="top" wrapText="1"/>
    </xf>
    <xf numFmtId="167" fontId="28" fillId="0" borderId="15" xfId="0" applyNumberFormat="1" applyFont="1" applyBorder="1" applyAlignment="1">
      <alignment vertical="top" wrapText="1"/>
    </xf>
    <xf numFmtId="167" fontId="14" fillId="0" borderId="15" xfId="0" applyNumberFormat="1" applyFont="1" applyFill="1" applyBorder="1" applyAlignment="1">
      <alignment vertical="top" wrapText="1"/>
    </xf>
    <xf numFmtId="0" fontId="30" fillId="0" borderId="0" xfId="0" applyFont="1"/>
    <xf numFmtId="0" fontId="1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164" fontId="21" fillId="5" borderId="10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right" vertical="top" wrapText="1"/>
    </xf>
    <xf numFmtId="0" fontId="1" fillId="4" borderId="5" xfId="0" applyFont="1" applyFill="1" applyBorder="1" applyAlignment="1" applyProtection="1">
      <alignment horizontal="right" vertical="top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zoomScale="68" zoomScaleNormal="100" zoomScaleSheetLayoutView="68" workbookViewId="0">
      <selection activeCell="A36" sqref="A36:DU37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202" t="s">
        <v>67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202" t="s">
        <v>52</v>
      </c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118"/>
      <c r="DU1" s="118"/>
      <c r="DV1" s="118"/>
    </row>
    <row r="2" spans="1:155" ht="50.25" customHeight="1" x14ac:dyDescent="0.25">
      <c r="A2" s="29"/>
      <c r="B2" s="29"/>
      <c r="C2" s="29"/>
      <c r="D2" s="29"/>
      <c r="E2" s="29"/>
      <c r="F2" s="29"/>
      <c r="G2" s="207" t="s">
        <v>227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79" t="s">
        <v>254</v>
      </c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18"/>
      <c r="DU2" s="118"/>
      <c r="DV2" s="118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208" t="s">
        <v>68</v>
      </c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208" t="s">
        <v>53</v>
      </c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97" t="s">
        <v>228</v>
      </c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97" t="s">
        <v>255</v>
      </c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18"/>
      <c r="DU4" s="118"/>
      <c r="DV4" s="118"/>
      <c r="DW4" s="34"/>
    </row>
    <row r="5" spans="1:155" x14ac:dyDescent="0.2">
      <c r="A5" s="16"/>
      <c r="B5" s="16"/>
      <c r="C5" s="16"/>
      <c r="D5" s="16"/>
      <c r="E5" s="16"/>
      <c r="F5" s="16"/>
      <c r="G5" s="198" t="s">
        <v>54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6"/>
      <c r="W5" s="16"/>
      <c r="X5" s="198" t="s">
        <v>55</v>
      </c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98" t="s">
        <v>54</v>
      </c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6"/>
      <c r="CW5" s="16"/>
      <c r="CX5" s="16"/>
      <c r="CY5" s="16"/>
      <c r="CZ5" s="31" t="s">
        <v>55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19"/>
      <c r="F6" s="18"/>
      <c r="I6" s="119" t="s">
        <v>56</v>
      </c>
      <c r="J6" s="32"/>
      <c r="K6" s="32"/>
      <c r="L6" s="29" t="s">
        <v>56</v>
      </c>
      <c r="M6" s="18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200" t="s">
        <v>65</v>
      </c>
      <c r="AE6" s="200"/>
      <c r="AF6" s="200"/>
      <c r="AG6" s="201"/>
      <c r="AH6" s="201"/>
      <c r="AI6" s="201"/>
      <c r="AJ6" s="202" t="s">
        <v>66</v>
      </c>
      <c r="AK6" s="202"/>
      <c r="AL6" s="29"/>
      <c r="AM6" s="18"/>
      <c r="AN6" s="18"/>
      <c r="AO6" s="18"/>
      <c r="AP6" s="18"/>
      <c r="AQ6" s="29"/>
      <c r="CH6" s="119" t="s">
        <v>56</v>
      </c>
      <c r="CI6" s="203"/>
      <c r="CJ6" s="203"/>
      <c r="CK6" s="203"/>
      <c r="CL6" s="203"/>
      <c r="CM6" s="29" t="s">
        <v>56</v>
      </c>
      <c r="CP6" s="202" t="s">
        <v>124</v>
      </c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4">
        <v>20</v>
      </c>
      <c r="DJ6" s="204"/>
      <c r="DK6" s="204"/>
      <c r="DL6" s="203"/>
      <c r="DM6" s="203"/>
      <c r="DN6" s="203"/>
      <c r="DO6" s="203"/>
      <c r="DP6" s="29" t="s">
        <v>57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205" t="s">
        <v>210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206" t="s">
        <v>58</v>
      </c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19" t="s">
        <v>59</v>
      </c>
      <c r="DJ11" s="194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6"/>
    </row>
    <row r="12" spans="1:155" ht="15.2" customHeight="1" x14ac:dyDescent="0.25">
      <c r="X12" s="34"/>
      <c r="Y12" s="34"/>
      <c r="Z12" s="34"/>
      <c r="AA12" s="34"/>
      <c r="AB12" s="34"/>
      <c r="AC12" s="20"/>
      <c r="AD12" s="191"/>
      <c r="AE12" s="191"/>
      <c r="AF12" s="191"/>
      <c r="AG12" s="191"/>
      <c r="AH12" s="21"/>
      <c r="AI12" s="21"/>
      <c r="AJ12" s="21" t="s">
        <v>56</v>
      </c>
      <c r="AK12" s="21"/>
      <c r="AL12" s="117"/>
      <c r="AM12" s="117"/>
      <c r="AN12" s="117"/>
      <c r="AO12" s="117"/>
      <c r="AP12" s="35" t="s">
        <v>56</v>
      </c>
      <c r="AQ12" s="35"/>
      <c r="AR12" s="35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35">
        <v>20</v>
      </c>
      <c r="BL12" s="193"/>
      <c r="BM12" s="193"/>
      <c r="BN12" s="193"/>
      <c r="BO12" s="193"/>
      <c r="BP12" s="193"/>
      <c r="BQ12" s="193"/>
      <c r="BR12" s="193"/>
      <c r="BS12" s="21" t="s">
        <v>57</v>
      </c>
      <c r="BT12" s="21"/>
      <c r="CT12" s="22"/>
      <c r="DH12" s="119" t="s">
        <v>60</v>
      </c>
      <c r="DJ12" s="194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6"/>
    </row>
    <row r="13" spans="1:155" ht="24" customHeight="1" x14ac:dyDescent="0.25">
      <c r="BH13" s="29"/>
      <c r="CT13" s="22"/>
      <c r="CU13" s="22"/>
      <c r="DH13" s="119"/>
      <c r="DJ13" s="194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6"/>
    </row>
    <row r="14" spans="1:155" ht="15" x14ac:dyDescent="0.25">
      <c r="CT14" s="22"/>
      <c r="CU14" s="22"/>
      <c r="DH14" s="119"/>
      <c r="DJ14" s="194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6"/>
    </row>
    <row r="15" spans="1:155" ht="15.2" customHeight="1" x14ac:dyDescent="0.25">
      <c r="A15" s="178" t="s">
        <v>69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47"/>
      <c r="AM15" s="47"/>
      <c r="AN15" s="47"/>
      <c r="AO15" s="178" t="s">
        <v>126</v>
      </c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23"/>
      <c r="CT15" s="23"/>
      <c r="DH15" s="119" t="s">
        <v>61</v>
      </c>
      <c r="DJ15" s="194" t="s">
        <v>125</v>
      </c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6"/>
    </row>
    <row r="16" spans="1:155" ht="15.2" customHeight="1" x14ac:dyDescent="0.2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47"/>
      <c r="AM16" s="47"/>
      <c r="AN16" s="47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23"/>
      <c r="CT16" s="23"/>
      <c r="CU16" s="22"/>
      <c r="DH16" s="119"/>
      <c r="DJ16" s="194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6"/>
    </row>
    <row r="17" spans="1:165" ht="66" customHeight="1" x14ac:dyDescent="0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47"/>
      <c r="AM17" s="47"/>
      <c r="AN17" s="47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23"/>
      <c r="CT17" s="23"/>
      <c r="CU17" s="22"/>
      <c r="DH17" s="24"/>
      <c r="DJ17" s="194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6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19"/>
      <c r="DJ18" s="188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90"/>
    </row>
    <row r="19" spans="1:165" ht="15.2" customHeight="1" x14ac:dyDescent="0.2">
      <c r="A19" s="182" t="s">
        <v>62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48"/>
      <c r="AM19" s="48"/>
      <c r="AN19" s="48"/>
      <c r="AO19" s="183" t="s">
        <v>127</v>
      </c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25"/>
      <c r="CT19" s="25"/>
      <c r="DH19" s="26"/>
      <c r="DJ19" s="184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6"/>
    </row>
    <row r="20" spans="1:165" ht="19.5" customHeight="1" x14ac:dyDescent="0.2">
      <c r="A20" s="182" t="s">
        <v>72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48"/>
      <c r="AM20" s="48"/>
      <c r="AN20" s="48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DH20" s="27" t="s">
        <v>63</v>
      </c>
      <c r="DJ20" s="184" t="s">
        <v>64</v>
      </c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6"/>
    </row>
    <row r="21" spans="1:165" ht="15.2" customHeight="1" x14ac:dyDescent="0.2">
      <c r="A21" s="182" t="s">
        <v>73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48"/>
      <c r="AM21" s="48"/>
      <c r="AN21" s="48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</row>
    <row r="23" spans="1:165" ht="21" customHeight="1" x14ac:dyDescent="0.2">
      <c r="A23" s="178" t="s">
        <v>70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47"/>
      <c r="AM23" s="47"/>
      <c r="AN23" s="47"/>
      <c r="AO23" s="178" t="s">
        <v>172</v>
      </c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47"/>
      <c r="AM24" s="47"/>
      <c r="AN24" s="47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47"/>
      <c r="AM25" s="47"/>
      <c r="AN25" s="47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36"/>
      <c r="AP27" s="36"/>
      <c r="AQ27" s="36"/>
      <c r="AR27" s="36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23"/>
      <c r="DR27" s="23"/>
      <c r="DS27" s="23"/>
      <c r="DT27" s="23"/>
    </row>
    <row r="28" spans="1:165" ht="15.2" hidden="1" customHeight="1" x14ac:dyDescent="0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36"/>
      <c r="AP28" s="36"/>
      <c r="AQ28" s="36"/>
      <c r="AR28" s="36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23"/>
      <c r="DR28" s="23"/>
      <c r="DS28" s="23"/>
      <c r="DT28" s="23"/>
    </row>
    <row r="29" spans="1:165" ht="15.2" hidden="1" customHeight="1" x14ac:dyDescent="0.2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36"/>
      <c r="AP29" s="36"/>
      <c r="AQ29" s="36"/>
      <c r="AR29" s="36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180" t="s">
        <v>71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178" t="s">
        <v>128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178" t="s">
        <v>131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79" t="s">
        <v>132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178" t="s">
        <v>268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Z36" s="88" t="s">
        <v>143</v>
      </c>
    </row>
    <row r="37" spans="1:165" ht="70.5" customHeight="1" x14ac:dyDescent="0.2">
      <c r="A37" s="179" t="s">
        <v>269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</row>
    <row r="38" spans="1:165" ht="24.75" customHeight="1" x14ac:dyDescent="0.2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</row>
    <row r="41" spans="1:165" ht="15" x14ac:dyDescent="0.2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</row>
  </sheetData>
  <mergeCells count="57">
    <mergeCell ref="G1:AM1"/>
    <mergeCell ref="CD1:DS1"/>
    <mergeCell ref="G2:AM2"/>
    <mergeCell ref="G3:AM3"/>
    <mergeCell ref="BZ2:DS2"/>
    <mergeCell ref="BZ3:DS3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view="pageBreakPreview" zoomScale="77" zoomScaleNormal="100" zoomScaleSheetLayoutView="77" workbookViewId="0">
      <selection activeCell="D11" sqref="D11"/>
    </sheetView>
  </sheetViews>
  <sheetFormatPr defaultRowHeight="24" customHeight="1" x14ac:dyDescent="0.2"/>
  <cols>
    <col min="1" max="1" width="9.140625" style="30"/>
    <col min="2" max="2" width="67.85546875" style="30" customWidth="1"/>
    <col min="3" max="3" width="27.140625" style="30" customWidth="1"/>
    <col min="4" max="4" width="80.42578125" style="169" customWidth="1"/>
    <col min="5" max="6" width="9.140625" style="169"/>
    <col min="7" max="16384" width="9.140625" style="30"/>
  </cols>
  <sheetData>
    <row r="1" spans="1:4" s="30" customFormat="1" ht="24" customHeight="1" x14ac:dyDescent="0.3">
      <c r="A1" s="209" t="s">
        <v>74</v>
      </c>
      <c r="B1" s="209"/>
      <c r="C1" s="209"/>
      <c r="D1" s="169" t="s">
        <v>143</v>
      </c>
    </row>
    <row r="2" spans="1:4" s="30" customFormat="1" ht="24" customHeight="1" x14ac:dyDescent="0.3">
      <c r="A2" s="210" t="s">
        <v>209</v>
      </c>
      <c r="B2" s="210"/>
      <c r="C2" s="210"/>
      <c r="D2" s="169"/>
    </row>
    <row r="3" spans="1:4" s="30" customFormat="1" ht="24" customHeight="1" x14ac:dyDescent="0.3">
      <c r="A3" s="168"/>
      <c r="D3" s="169"/>
    </row>
    <row r="4" spans="1:4" s="30" customFormat="1" ht="24" customHeight="1" x14ac:dyDescent="0.25">
      <c r="A4" s="53" t="s">
        <v>75</v>
      </c>
      <c r="B4" s="53" t="s">
        <v>0</v>
      </c>
      <c r="C4" s="53" t="s">
        <v>76</v>
      </c>
      <c r="D4" s="177" t="s">
        <v>281</v>
      </c>
    </row>
    <row r="5" spans="1:4" s="30" customFormat="1" ht="19.5" customHeight="1" x14ac:dyDescent="0.2">
      <c r="A5" s="53">
        <v>1</v>
      </c>
      <c r="B5" s="53">
        <v>2</v>
      </c>
      <c r="C5" s="53">
        <v>3</v>
      </c>
      <c r="D5" s="169"/>
    </row>
    <row r="6" spans="1:4" s="30" customFormat="1" ht="24" customHeight="1" x14ac:dyDescent="0.2">
      <c r="A6" s="54"/>
      <c r="B6" s="73" t="s">
        <v>77</v>
      </c>
      <c r="C6" s="173">
        <f>4944207.21/1000</f>
        <v>4944.2072099999996</v>
      </c>
      <c r="D6" s="170" t="s">
        <v>256</v>
      </c>
    </row>
    <row r="7" spans="1:4" s="30" customFormat="1" ht="24" customHeight="1" x14ac:dyDescent="0.2">
      <c r="A7" s="54"/>
      <c r="B7" s="56" t="s">
        <v>78</v>
      </c>
      <c r="C7" s="174">
        <f>7506588.24/1000</f>
        <v>7506.58824</v>
      </c>
      <c r="D7" s="170" t="s">
        <v>257</v>
      </c>
    </row>
    <row r="8" spans="1:4" s="30" customFormat="1" ht="24" customHeight="1" x14ac:dyDescent="0.2">
      <c r="A8" s="54"/>
      <c r="B8" s="57" t="s">
        <v>4</v>
      </c>
      <c r="C8" s="175"/>
      <c r="D8" s="170"/>
    </row>
    <row r="9" spans="1:4" s="30" customFormat="1" ht="24" customHeight="1" x14ac:dyDescent="0.2">
      <c r="A9" s="54"/>
      <c r="B9" s="57" t="s">
        <v>79</v>
      </c>
      <c r="C9" s="174">
        <f>4698976.49/1000</f>
        <v>4698.97649</v>
      </c>
      <c r="D9" s="170" t="s">
        <v>258</v>
      </c>
    </row>
    <row r="10" spans="1:4" s="30" customFormat="1" ht="24" customHeight="1" x14ac:dyDescent="0.3">
      <c r="A10" s="54"/>
      <c r="B10" s="58" t="s">
        <v>80</v>
      </c>
      <c r="C10" s="174">
        <f>3221653.47/1000</f>
        <v>3221.6534700000002</v>
      </c>
      <c r="D10" s="171" t="s">
        <v>259</v>
      </c>
    </row>
    <row r="11" spans="1:4" s="30" customFormat="1" ht="24" customHeight="1" x14ac:dyDescent="0.2">
      <c r="A11" s="54"/>
      <c r="B11" s="57" t="s">
        <v>4</v>
      </c>
      <c r="C11" s="175"/>
      <c r="D11" s="170"/>
    </row>
    <row r="12" spans="1:4" s="30" customFormat="1" ht="24" customHeight="1" x14ac:dyDescent="0.2">
      <c r="A12" s="54"/>
      <c r="B12" s="57" t="s">
        <v>79</v>
      </c>
      <c r="C12" s="176">
        <f>245230.72/1000</f>
        <v>245.23071999999999</v>
      </c>
      <c r="D12" s="170" t="s">
        <v>260</v>
      </c>
    </row>
    <row r="13" spans="1:4" s="30" customFormat="1" ht="24" customHeight="1" x14ac:dyDescent="0.2">
      <c r="A13" s="54"/>
      <c r="B13" s="73" t="s">
        <v>81</v>
      </c>
      <c r="C13" s="173">
        <f>1266414.21/1000</f>
        <v>1266.4142099999999</v>
      </c>
      <c r="D13" s="170" t="s">
        <v>261</v>
      </c>
    </row>
    <row r="14" spans="1:4" s="30" customFormat="1" ht="24" customHeight="1" x14ac:dyDescent="0.2">
      <c r="A14" s="54"/>
      <c r="B14" s="56" t="s">
        <v>82</v>
      </c>
      <c r="C14" s="174">
        <f>C16+C17</f>
        <v>1208.9385600000001</v>
      </c>
      <c r="D14" s="170" t="s">
        <v>262</v>
      </c>
    </row>
    <row r="15" spans="1:4" s="30" customFormat="1" ht="24" customHeight="1" x14ac:dyDescent="0.2">
      <c r="A15" s="54"/>
      <c r="B15" s="59" t="s">
        <v>4</v>
      </c>
      <c r="C15" s="174"/>
      <c r="D15" s="170"/>
    </row>
    <row r="16" spans="1:4" s="30" customFormat="1" ht="24" customHeight="1" x14ac:dyDescent="0.2">
      <c r="A16" s="54"/>
      <c r="B16" s="59" t="s">
        <v>83</v>
      </c>
      <c r="C16" s="174">
        <f>1208938.56/1000</f>
        <v>1208.9385600000001</v>
      </c>
      <c r="D16" s="172" t="s">
        <v>263</v>
      </c>
    </row>
    <row r="17" spans="1:4" s="30" customFormat="1" ht="33" customHeight="1" x14ac:dyDescent="0.2">
      <c r="A17" s="54"/>
      <c r="B17" s="59" t="s">
        <v>84</v>
      </c>
      <c r="C17" s="174">
        <v>0</v>
      </c>
      <c r="D17" s="170"/>
    </row>
    <row r="18" spans="1:4" s="30" customFormat="1" ht="24" customHeight="1" x14ac:dyDescent="0.2">
      <c r="A18" s="54"/>
      <c r="B18" s="56" t="s">
        <v>85</v>
      </c>
      <c r="C18" s="174">
        <v>0</v>
      </c>
      <c r="D18" s="170"/>
    </row>
    <row r="19" spans="1:4" s="30" customFormat="1" ht="24" customHeight="1" x14ac:dyDescent="0.2">
      <c r="A19" s="54"/>
      <c r="B19" s="56" t="s">
        <v>86</v>
      </c>
      <c r="C19" s="174">
        <f>-16267.07/1000</f>
        <v>-16.26707</v>
      </c>
      <c r="D19" s="170" t="s">
        <v>264</v>
      </c>
    </row>
    <row r="20" spans="1:4" s="30" customFormat="1" ht="24" customHeight="1" x14ac:dyDescent="0.2">
      <c r="A20" s="54"/>
      <c r="B20" s="56" t="s">
        <v>87</v>
      </c>
      <c r="C20" s="174">
        <f>(40093.72)/1000</f>
        <v>40.093720000000005</v>
      </c>
      <c r="D20" s="170" t="s">
        <v>265</v>
      </c>
    </row>
    <row r="21" spans="1:4" s="30" customFormat="1" ht="24" customHeight="1" x14ac:dyDescent="0.2">
      <c r="A21" s="54"/>
      <c r="B21" s="73" t="s">
        <v>88</v>
      </c>
      <c r="C21" s="173">
        <f>12607608.89/1000</f>
        <v>12607.608890000001</v>
      </c>
      <c r="D21" s="170" t="s">
        <v>266</v>
      </c>
    </row>
    <row r="22" spans="1:4" s="30" customFormat="1" ht="24" customHeight="1" x14ac:dyDescent="0.2">
      <c r="A22" s="54"/>
      <c r="B22" s="56" t="s">
        <v>12</v>
      </c>
      <c r="C22" s="174"/>
      <c r="D22" s="170"/>
    </row>
    <row r="23" spans="1:4" s="30" customFormat="1" ht="24" customHeight="1" x14ac:dyDescent="0.2">
      <c r="A23" s="54"/>
      <c r="B23" s="56" t="s">
        <v>89</v>
      </c>
      <c r="C23" s="174">
        <v>0</v>
      </c>
      <c r="D23" s="170"/>
    </row>
    <row r="24" spans="1:4" s="30" customFormat="1" ht="24" customHeight="1" x14ac:dyDescent="0.2">
      <c r="A24" s="54"/>
      <c r="B24" s="56" t="s">
        <v>90</v>
      </c>
      <c r="C24" s="174">
        <f>73801.78/1000</f>
        <v>73.801779999999994</v>
      </c>
      <c r="D24" s="172" t="s">
        <v>267</v>
      </c>
    </row>
    <row r="25" spans="1:4" s="30" customFormat="1" ht="24" customHeight="1" x14ac:dyDescent="0.2">
      <c r="A25" s="54"/>
      <c r="B25" s="57" t="s">
        <v>4</v>
      </c>
      <c r="C25" s="174"/>
      <c r="D25" s="170"/>
    </row>
    <row r="26" spans="1:4" s="30" customFormat="1" ht="24" customHeight="1" x14ac:dyDescent="0.2">
      <c r="A26" s="54"/>
      <c r="B26" s="57" t="s">
        <v>91</v>
      </c>
      <c r="C26" s="174">
        <v>0</v>
      </c>
      <c r="D26" s="170"/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47"/>
  <sheetViews>
    <sheetView view="pageBreakPreview" zoomScale="82" zoomScaleNormal="100" zoomScaleSheetLayoutView="82" workbookViewId="0">
      <pane ySplit="7" topLeftCell="A8" activePane="bottomLeft" state="frozen"/>
      <selection pane="bottomLeft" activeCell="BD35" sqref="BD35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7.285156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8.140625" style="9" customWidth="1"/>
    <col min="55" max="55" width="15.140625" style="9" customWidth="1"/>
    <col min="56" max="56" width="12.140625" style="9" customWidth="1"/>
    <col min="57" max="57" width="17.140625" style="9" customWidth="1"/>
    <col min="58" max="58" width="9.7109375" style="9" customWidth="1"/>
    <col min="59" max="59" width="15.140625" style="80" customWidth="1"/>
    <col min="60" max="60" width="16.140625" style="9" customWidth="1"/>
    <col min="61" max="61" width="16.28515625" style="9" customWidth="1"/>
    <col min="62" max="62" width="15.7109375" style="9" customWidth="1"/>
    <col min="63" max="63" width="15.85546875" style="9" bestFit="1" customWidth="1"/>
    <col min="64" max="64" width="16.140625" style="9" customWidth="1"/>
    <col min="65" max="16384" width="9.140625" style="9"/>
  </cols>
  <sheetData>
    <row r="1" spans="1:63" ht="12.75" x14ac:dyDescent="0.2"/>
    <row r="2" spans="1:63" ht="15" customHeight="1" x14ac:dyDescent="0.2">
      <c r="A2" s="249" t="s">
        <v>195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</row>
    <row r="3" spans="1:63" ht="12.75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"/>
      <c r="BD3" s="1"/>
      <c r="BE3" s="1"/>
      <c r="BF3" s="1"/>
    </row>
    <row r="4" spans="1:63" ht="12.75" customHeight="1" x14ac:dyDescent="0.2">
      <c r="A4" s="256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8"/>
      <c r="AY4" s="265" t="s">
        <v>1</v>
      </c>
      <c r="AZ4" s="268" t="s">
        <v>2</v>
      </c>
      <c r="BA4" s="250" t="s">
        <v>3</v>
      </c>
      <c r="BB4" s="251"/>
      <c r="BC4" s="251"/>
      <c r="BD4" s="251"/>
      <c r="BE4" s="251"/>
      <c r="BF4" s="251"/>
    </row>
    <row r="5" spans="1:63" ht="12.75" customHeight="1" x14ac:dyDescent="0.2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1"/>
      <c r="AY5" s="266"/>
      <c r="AZ5" s="254"/>
      <c r="BA5" s="254" t="s">
        <v>26</v>
      </c>
      <c r="BB5" s="267" t="s">
        <v>4</v>
      </c>
      <c r="BC5" s="267"/>
      <c r="BD5" s="267"/>
      <c r="BE5" s="267"/>
      <c r="BF5" s="267"/>
    </row>
    <row r="6" spans="1:63" ht="61.5" customHeight="1" x14ac:dyDescent="0.2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1"/>
      <c r="AY6" s="266"/>
      <c r="AZ6" s="254"/>
      <c r="BA6" s="254"/>
      <c r="BB6" s="253" t="s">
        <v>5</v>
      </c>
      <c r="BC6" s="253" t="s">
        <v>6</v>
      </c>
      <c r="BD6" s="253" t="s">
        <v>7</v>
      </c>
      <c r="BE6" s="253" t="s">
        <v>8</v>
      </c>
      <c r="BF6" s="253"/>
    </row>
    <row r="7" spans="1:63" ht="30" customHeight="1" x14ac:dyDescent="0.2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4"/>
      <c r="AY7" s="267"/>
      <c r="AZ7" s="255"/>
      <c r="BA7" s="255"/>
      <c r="BB7" s="253"/>
      <c r="BC7" s="253"/>
      <c r="BD7" s="253"/>
      <c r="BE7" s="153" t="s">
        <v>9</v>
      </c>
      <c r="BF7" s="153" t="s">
        <v>10</v>
      </c>
      <c r="BG7" s="116">
        <f>BA9+BA132-BA23</f>
        <v>0</v>
      </c>
      <c r="BK7" s="9" t="s">
        <v>130</v>
      </c>
    </row>
    <row r="8" spans="1:63" ht="11.1" customHeight="1" x14ac:dyDescent="0.2">
      <c r="A8" s="250">
        <v>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2"/>
      <c r="AY8" s="2">
        <v>2</v>
      </c>
      <c r="AZ8" s="71">
        <v>3</v>
      </c>
      <c r="BA8" s="71">
        <v>4</v>
      </c>
      <c r="BB8" s="154">
        <v>5</v>
      </c>
      <c r="BC8" s="154">
        <v>6</v>
      </c>
      <c r="BD8" s="154">
        <v>7</v>
      </c>
      <c r="BE8" s="153">
        <v>8</v>
      </c>
      <c r="BF8" s="153">
        <v>9</v>
      </c>
    </row>
    <row r="9" spans="1:63" ht="23.25" customHeight="1" x14ac:dyDescent="0.2">
      <c r="A9" s="3"/>
      <c r="B9" s="274" t="s">
        <v>27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5"/>
      <c r="AY9" s="11">
        <v>100</v>
      </c>
      <c r="AZ9" s="72" t="s">
        <v>28</v>
      </c>
      <c r="BA9" s="126">
        <f>BA10+BA11+BA16+BA17+BA18+BA19+BA22+BA15</f>
        <v>23997510.41</v>
      </c>
      <c r="BB9" s="126">
        <f>BB11</f>
        <v>20427541</v>
      </c>
      <c r="BC9" s="126">
        <f>BC18</f>
        <v>2106969.41</v>
      </c>
      <c r="BD9" s="126">
        <f>BD18</f>
        <v>0</v>
      </c>
      <c r="BE9" s="126">
        <f>BE10+BE11+BE16+BE17+BE19+BE22+BE15</f>
        <v>1463000</v>
      </c>
      <c r="BF9" s="126">
        <f>BF11+BF19</f>
        <v>0</v>
      </c>
      <c r="BG9" s="100"/>
    </row>
    <row r="10" spans="1:63" ht="21.75" customHeight="1" x14ac:dyDescent="0.2">
      <c r="A10" s="5"/>
      <c r="B10" s="218" t="s">
        <v>47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72" t="s">
        <v>184</v>
      </c>
      <c r="BA10" s="127">
        <f>BE10</f>
        <v>0</v>
      </c>
      <c r="BB10" s="128" t="s">
        <v>28</v>
      </c>
      <c r="BC10" s="128" t="s">
        <v>28</v>
      </c>
      <c r="BD10" s="128" t="s">
        <v>28</v>
      </c>
      <c r="BE10" s="128">
        <f>160000-160000</f>
        <v>0</v>
      </c>
      <c r="BF10" s="128" t="s">
        <v>28</v>
      </c>
      <c r="BG10" s="80" t="s">
        <v>273</v>
      </c>
    </row>
    <row r="11" spans="1:63" ht="19.5" customHeight="1" x14ac:dyDescent="0.2">
      <c r="A11" s="5"/>
      <c r="B11" s="218" t="s">
        <v>211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>
        <v>120</v>
      </c>
      <c r="AZ11" s="72" t="s">
        <v>185</v>
      </c>
      <c r="BA11" s="127">
        <f>BB11+BE11+BF11</f>
        <v>21720541</v>
      </c>
      <c r="BB11" s="128">
        <f>SUM(BB12:BB14)</f>
        <v>20427541</v>
      </c>
      <c r="BC11" s="128" t="s">
        <v>28</v>
      </c>
      <c r="BD11" s="128" t="s">
        <v>28</v>
      </c>
      <c r="BE11" s="128">
        <f>SUM(BE12:BE14)</f>
        <v>1293000</v>
      </c>
      <c r="BF11" s="128">
        <v>0</v>
      </c>
      <c r="BG11" s="80" t="s">
        <v>274</v>
      </c>
    </row>
    <row r="12" spans="1:63" s="89" customFormat="1" ht="45.75" hidden="1" customHeight="1" x14ac:dyDescent="0.2">
      <c r="A12" s="227" t="s">
        <v>146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9"/>
      <c r="AY12" s="101"/>
      <c r="AZ12" s="102" t="s">
        <v>148</v>
      </c>
      <c r="BA12" s="129"/>
      <c r="BB12" s="129">
        <v>19514541</v>
      </c>
      <c r="BC12" s="129"/>
      <c r="BD12" s="129"/>
      <c r="BE12" s="129"/>
      <c r="BF12" s="129"/>
      <c r="BG12" s="236" t="s">
        <v>145</v>
      </c>
    </row>
    <row r="13" spans="1:63" s="89" customFormat="1" ht="33.75" hidden="1" customHeight="1" x14ac:dyDescent="0.2">
      <c r="A13" s="227" t="s">
        <v>147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9"/>
      <c r="AY13" s="101"/>
      <c r="AZ13" s="102" t="s">
        <v>149</v>
      </c>
      <c r="BA13" s="129"/>
      <c r="BB13" s="129">
        <v>913000</v>
      </c>
      <c r="BC13" s="129"/>
      <c r="BD13" s="129"/>
      <c r="BE13" s="129"/>
      <c r="BF13" s="129"/>
      <c r="BG13" s="236"/>
    </row>
    <row r="14" spans="1:63" s="89" customFormat="1" ht="61.5" hidden="1" customHeight="1" x14ac:dyDescent="0.2">
      <c r="A14" s="227" t="s">
        <v>151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9"/>
      <c r="AY14" s="101"/>
      <c r="AZ14" s="102" t="s">
        <v>150</v>
      </c>
      <c r="BA14" s="129"/>
      <c r="BB14" s="129"/>
      <c r="BC14" s="129"/>
      <c r="BD14" s="129"/>
      <c r="BE14" s="129">
        <v>1293000</v>
      </c>
      <c r="BF14" s="129"/>
      <c r="BG14" s="236"/>
    </row>
    <row r="15" spans="1:63" s="121" customFormat="1" ht="18.75" customHeight="1" x14ac:dyDescent="0.2">
      <c r="A15" s="243" t="s">
        <v>212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  <c r="AY15" s="143">
        <v>130</v>
      </c>
      <c r="AZ15" s="72" t="s">
        <v>189</v>
      </c>
      <c r="BA15" s="127">
        <f>BE15</f>
        <v>100000</v>
      </c>
      <c r="BB15" s="130"/>
      <c r="BC15" s="130"/>
      <c r="BD15" s="130"/>
      <c r="BE15" s="130">
        <v>100000</v>
      </c>
      <c r="BF15" s="130"/>
      <c r="BG15" s="144">
        <v>2011</v>
      </c>
    </row>
    <row r="16" spans="1:63" ht="17.25" customHeight="1" x14ac:dyDescent="0.2">
      <c r="A16" s="5"/>
      <c r="B16" s="218" t="s">
        <v>213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140</v>
      </c>
      <c r="AZ16" s="72" t="s">
        <v>186</v>
      </c>
      <c r="BA16" s="127">
        <f>BE16</f>
        <v>60000</v>
      </c>
      <c r="BB16" s="128" t="s">
        <v>28</v>
      </c>
      <c r="BC16" s="128" t="s">
        <v>28</v>
      </c>
      <c r="BD16" s="128" t="s">
        <v>28</v>
      </c>
      <c r="BE16" s="130">
        <f>60000</f>
        <v>60000</v>
      </c>
      <c r="BF16" s="128" t="s">
        <v>28</v>
      </c>
      <c r="BG16" s="80" t="s">
        <v>170</v>
      </c>
    </row>
    <row r="17" spans="1:59" ht="52.5" customHeight="1" x14ac:dyDescent="0.2">
      <c r="A17" s="5"/>
      <c r="B17" s="218" t="s">
        <v>214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150</v>
      </c>
      <c r="AZ17" s="72" t="s">
        <v>32</v>
      </c>
      <c r="BA17" s="127">
        <f>BE17</f>
        <v>0</v>
      </c>
      <c r="BB17" s="128" t="s">
        <v>28</v>
      </c>
      <c r="BC17" s="128" t="s">
        <v>28</v>
      </c>
      <c r="BD17" s="128" t="s">
        <v>28</v>
      </c>
      <c r="BE17" s="128">
        <v>0</v>
      </c>
      <c r="BF17" s="128" t="s">
        <v>28</v>
      </c>
    </row>
    <row r="18" spans="1:59" ht="39.75" customHeight="1" x14ac:dyDescent="0.2">
      <c r="A18" s="5"/>
      <c r="B18" s="218" t="s">
        <v>221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160</v>
      </c>
      <c r="AZ18" s="72" t="s">
        <v>207</v>
      </c>
      <c r="BA18" s="127">
        <f>BC18+BD18</f>
        <v>2106969.41</v>
      </c>
      <c r="BB18" s="128" t="s">
        <v>28</v>
      </c>
      <c r="BC18" s="128">
        <f>16500+37380+1181900+871189.41</f>
        <v>2106969.41</v>
      </c>
      <c r="BD18" s="128">
        <v>0</v>
      </c>
      <c r="BE18" s="128" t="s">
        <v>28</v>
      </c>
      <c r="BF18" s="128" t="s">
        <v>28</v>
      </c>
      <c r="BG18" s="80" t="s">
        <v>33</v>
      </c>
    </row>
    <row r="19" spans="1:59" ht="12.75" customHeight="1" x14ac:dyDescent="0.2">
      <c r="A19" s="5"/>
      <c r="B19" s="218" t="s">
        <v>215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>
        <v>170</v>
      </c>
      <c r="AZ19" s="72" t="s">
        <v>187</v>
      </c>
      <c r="BA19" s="127">
        <f>BE19</f>
        <v>10000</v>
      </c>
      <c r="BB19" s="128" t="s">
        <v>28</v>
      </c>
      <c r="BC19" s="128" t="s">
        <v>28</v>
      </c>
      <c r="BD19" s="128" t="s">
        <v>28</v>
      </c>
      <c r="BE19" s="128">
        <v>10000</v>
      </c>
      <c r="BF19" s="128">
        <v>0</v>
      </c>
      <c r="BG19" s="80" t="s">
        <v>275</v>
      </c>
    </row>
    <row r="20" spans="1:59" s="89" customFormat="1" ht="19.5" hidden="1" customHeight="1" x14ac:dyDescent="0.2">
      <c r="A20" s="227" t="s">
        <v>193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9"/>
      <c r="AY20" s="101"/>
      <c r="AZ20" s="102" t="s">
        <v>194</v>
      </c>
      <c r="BA20" s="129"/>
      <c r="BB20" s="129"/>
      <c r="BC20" s="129"/>
      <c r="BD20" s="129"/>
      <c r="BE20" s="129">
        <v>0</v>
      </c>
      <c r="BF20" s="129"/>
      <c r="BG20" s="80"/>
    </row>
    <row r="21" spans="1:59" s="89" customFormat="1" ht="20.25" hidden="1" customHeight="1" x14ac:dyDescent="0.2">
      <c r="A21" s="227" t="s">
        <v>177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9"/>
      <c r="AY21" s="101"/>
      <c r="AZ21" s="102" t="s">
        <v>176</v>
      </c>
      <c r="BA21" s="129"/>
      <c r="BB21" s="129"/>
      <c r="BC21" s="129"/>
      <c r="BD21" s="129"/>
      <c r="BE21" s="129"/>
      <c r="BF21" s="129"/>
      <c r="BG21" s="80"/>
    </row>
    <row r="22" spans="1:59" ht="18.75" customHeight="1" x14ac:dyDescent="0.2">
      <c r="A22" s="5"/>
      <c r="B22" s="218" t="s">
        <v>31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9"/>
      <c r="AY22" s="8">
        <v>180</v>
      </c>
      <c r="AZ22" s="72" t="s">
        <v>48</v>
      </c>
      <c r="BA22" s="127">
        <f>BE22</f>
        <v>0</v>
      </c>
      <c r="BB22" s="128" t="s">
        <v>28</v>
      </c>
      <c r="BC22" s="128" t="s">
        <v>28</v>
      </c>
      <c r="BD22" s="128" t="s">
        <v>28</v>
      </c>
      <c r="BE22" s="128">
        <v>0</v>
      </c>
      <c r="BF22" s="128">
        <v>0</v>
      </c>
    </row>
    <row r="23" spans="1:59" ht="24.75" customHeight="1" x14ac:dyDescent="0.2">
      <c r="A23" s="3"/>
      <c r="B23" s="274" t="s">
        <v>34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5"/>
      <c r="AY23" s="11">
        <v>200</v>
      </c>
      <c r="AZ23" s="72" t="s">
        <v>28</v>
      </c>
      <c r="BA23" s="126">
        <f t="shared" ref="BA23:BF23" si="0">BA24+BA42+BA45+BA60+BA62+BA63</f>
        <v>25206448.970000003</v>
      </c>
      <c r="BB23" s="126">
        <f t="shared" si="0"/>
        <v>21451823.510000002</v>
      </c>
      <c r="BC23" s="126">
        <f t="shared" si="0"/>
        <v>2106969.41</v>
      </c>
      <c r="BD23" s="126">
        <f t="shared" si="0"/>
        <v>0</v>
      </c>
      <c r="BE23" s="126">
        <f t="shared" si="0"/>
        <v>1647656.05</v>
      </c>
      <c r="BF23" s="126">
        <f t="shared" si="0"/>
        <v>0</v>
      </c>
      <c r="BG23" s="103"/>
    </row>
    <row r="24" spans="1:59" ht="44.25" customHeight="1" x14ac:dyDescent="0.2">
      <c r="A24" s="5"/>
      <c r="B24" s="216" t="s">
        <v>35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7"/>
      <c r="AY24" s="12">
        <v>210</v>
      </c>
      <c r="AZ24" s="72"/>
      <c r="BA24" s="127">
        <f t="shared" ref="BA24:BF24" si="1">BA25+BA35+BA39</f>
        <v>18345650.390000001</v>
      </c>
      <c r="BB24" s="131">
        <f t="shared" si="1"/>
        <v>17501734.32</v>
      </c>
      <c r="BC24" s="131">
        <f t="shared" si="1"/>
        <v>16500</v>
      </c>
      <c r="BD24" s="131">
        <f t="shared" si="1"/>
        <v>0</v>
      </c>
      <c r="BE24" s="131">
        <f t="shared" si="1"/>
        <v>827416.07000000007</v>
      </c>
      <c r="BF24" s="131">
        <f t="shared" si="1"/>
        <v>0</v>
      </c>
    </row>
    <row r="25" spans="1:59" ht="39.75" customHeight="1" x14ac:dyDescent="0.2">
      <c r="A25" s="5"/>
      <c r="B25" s="216" t="s">
        <v>36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7"/>
      <c r="AY25" s="12">
        <v>211</v>
      </c>
      <c r="AZ25" s="72"/>
      <c r="BA25" s="127">
        <f>BA26+BA31</f>
        <v>18084717.390000001</v>
      </c>
      <c r="BB25" s="131">
        <f t="shared" ref="BB25:BF25" si="2">BB26+BB31</f>
        <v>17286934.32</v>
      </c>
      <c r="BC25" s="131">
        <f t="shared" si="2"/>
        <v>0</v>
      </c>
      <c r="BD25" s="131">
        <f t="shared" si="2"/>
        <v>0</v>
      </c>
      <c r="BE25" s="131">
        <f>BE26+BE31</f>
        <v>797783.07000000007</v>
      </c>
      <c r="BF25" s="131">
        <f t="shared" si="2"/>
        <v>0</v>
      </c>
    </row>
    <row r="26" spans="1:59" ht="20.25" customHeight="1" x14ac:dyDescent="0.2">
      <c r="A26" s="6"/>
      <c r="B26" s="7"/>
      <c r="C26" s="218" t="s">
        <v>216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9"/>
      <c r="AY26" s="8"/>
      <c r="AZ26" s="72" t="s">
        <v>15</v>
      </c>
      <c r="BA26" s="127">
        <f>BB26+BC26+BD26+BE26</f>
        <v>13964555.07</v>
      </c>
      <c r="BB26" s="128">
        <f>BB27+BB30+BB29+BB28</f>
        <v>13348428.07</v>
      </c>
      <c r="BC26" s="128">
        <v>0</v>
      </c>
      <c r="BD26" s="128">
        <v>0</v>
      </c>
      <c r="BE26" s="128">
        <f>600000+50427-164000+129700</f>
        <v>616127</v>
      </c>
      <c r="BF26" s="128">
        <v>0</v>
      </c>
      <c r="BG26" s="80" t="s">
        <v>239</v>
      </c>
    </row>
    <row r="27" spans="1:59" s="89" customFormat="1" ht="12.75" hidden="1" customHeight="1" x14ac:dyDescent="0.2">
      <c r="A27" s="124"/>
      <c r="B27" s="125"/>
      <c r="C27" s="228" t="s">
        <v>241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9"/>
      <c r="AY27" s="101"/>
      <c r="AZ27" s="102"/>
      <c r="BA27" s="129"/>
      <c r="BB27" s="129">
        <f>12040512-30000</f>
        <v>12010512</v>
      </c>
      <c r="BC27" s="129"/>
      <c r="BD27" s="129"/>
      <c r="BE27" s="129"/>
      <c r="BF27" s="129"/>
      <c r="BG27" s="106"/>
    </row>
    <row r="28" spans="1:59" s="89" customFormat="1" ht="12.75" hidden="1" customHeight="1" x14ac:dyDescent="0.2">
      <c r="A28" s="124"/>
      <c r="B28" s="125"/>
      <c r="C28" s="269" t="s">
        <v>251</v>
      </c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70"/>
      <c r="AY28" s="101"/>
      <c r="AZ28" s="102"/>
      <c r="BA28" s="129"/>
      <c r="BB28" s="129">
        <v>30000</v>
      </c>
      <c r="BC28" s="129"/>
      <c r="BD28" s="129"/>
      <c r="BE28" s="129"/>
      <c r="BF28" s="129"/>
      <c r="BG28" s="106"/>
    </row>
    <row r="29" spans="1:59" s="89" customFormat="1" ht="12.75" hidden="1" customHeight="1" x14ac:dyDescent="0.2">
      <c r="A29" s="124"/>
      <c r="B29" s="125"/>
      <c r="C29" s="228" t="s">
        <v>204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9"/>
      <c r="AY29" s="101"/>
      <c r="AZ29" s="102"/>
      <c r="BA29" s="129"/>
      <c r="BB29" s="129">
        <v>700000</v>
      </c>
      <c r="BC29" s="129"/>
      <c r="BD29" s="129"/>
      <c r="BE29" s="129"/>
      <c r="BF29" s="129"/>
      <c r="BG29" s="106"/>
    </row>
    <row r="30" spans="1:59" s="89" customFormat="1" ht="12.75" hidden="1" customHeight="1" x14ac:dyDescent="0.2">
      <c r="A30" s="124"/>
      <c r="B30" s="125"/>
      <c r="C30" s="228" t="s">
        <v>168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9"/>
      <c r="AY30" s="101"/>
      <c r="AZ30" s="102"/>
      <c r="BA30" s="129"/>
      <c r="BB30" s="129">
        <f>135783.32+458469.03+13663.72</f>
        <v>607916.07000000007</v>
      </c>
      <c r="BC30" s="129"/>
      <c r="BD30" s="129"/>
      <c r="BE30" s="129"/>
      <c r="BF30" s="129"/>
      <c r="BG30" s="106"/>
    </row>
    <row r="31" spans="1:59" ht="51" customHeight="1" x14ac:dyDescent="0.2">
      <c r="A31" s="136"/>
      <c r="B31" s="155"/>
      <c r="C31" s="218" t="s">
        <v>217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72" t="s">
        <v>16</v>
      </c>
      <c r="BA31" s="127">
        <f>BB31+BC31+BD31+BE31</f>
        <v>4120162.32</v>
      </c>
      <c r="BB31" s="128">
        <f>BB32+BB34+BB33</f>
        <v>3938506.25</v>
      </c>
      <c r="BC31" s="128">
        <v>0</v>
      </c>
      <c r="BD31" s="128">
        <v>0</v>
      </c>
      <c r="BE31" s="128">
        <f>181000+15229.12-53686.05+39113</f>
        <v>181656.07</v>
      </c>
      <c r="BF31" s="128">
        <v>0</v>
      </c>
      <c r="BG31" s="80" t="s">
        <v>152</v>
      </c>
    </row>
    <row r="32" spans="1:59" s="89" customFormat="1" ht="17.25" hidden="1" customHeight="1" x14ac:dyDescent="0.2">
      <c r="A32" s="122"/>
      <c r="B32" s="228" t="str">
        <f>C27</f>
        <v>мз КОСГУ 211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9"/>
      <c r="AY32" s="101"/>
      <c r="AZ32" s="102"/>
      <c r="BA32" s="129"/>
      <c r="BB32" s="129">
        <v>3546171</v>
      </c>
      <c r="BC32" s="129"/>
      <c r="BD32" s="129"/>
      <c r="BE32" s="129"/>
      <c r="BF32" s="129"/>
      <c r="BG32" s="106"/>
    </row>
    <row r="33" spans="1:59" s="89" customFormat="1" ht="21.75" hidden="1" customHeight="1" x14ac:dyDescent="0.2">
      <c r="A33" s="122"/>
      <c r="B33" s="228" t="str">
        <f>C29</f>
        <v>дотация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9"/>
      <c r="AY33" s="101"/>
      <c r="AZ33" s="102"/>
      <c r="BA33" s="129"/>
      <c r="BB33" s="129">
        <v>213000</v>
      </c>
      <c r="BC33" s="129"/>
      <c r="BD33" s="129"/>
      <c r="BE33" s="129"/>
      <c r="BF33" s="129"/>
      <c r="BG33" s="106"/>
    </row>
    <row r="34" spans="1:59" s="89" customFormat="1" ht="19.5" hidden="1" customHeight="1" x14ac:dyDescent="0.2">
      <c r="A34" s="122"/>
      <c r="B34" s="228" t="s">
        <v>168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9"/>
      <c r="AY34" s="101"/>
      <c r="AZ34" s="102"/>
      <c r="BA34" s="129"/>
      <c r="BB34" s="129">
        <f>40056.08+135248.37+4030.8</f>
        <v>179335.25</v>
      </c>
      <c r="BC34" s="129"/>
      <c r="BD34" s="129"/>
      <c r="BE34" s="129"/>
      <c r="BF34" s="129"/>
      <c r="BG34" s="106"/>
    </row>
    <row r="35" spans="1:59" ht="28.5" customHeight="1" x14ac:dyDescent="0.2">
      <c r="A35" s="136"/>
      <c r="B35" s="155"/>
      <c r="C35" s="218" t="s">
        <v>222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9"/>
      <c r="AY35" s="8"/>
      <c r="AZ35" s="72" t="s">
        <v>14</v>
      </c>
      <c r="BA35" s="127">
        <f>BB35+BC35+BD35+BE35</f>
        <v>94353</v>
      </c>
      <c r="BB35" s="128">
        <f>BB36+BB38</f>
        <v>48220</v>
      </c>
      <c r="BC35" s="128">
        <v>16500</v>
      </c>
      <c r="BD35" s="128">
        <v>0</v>
      </c>
      <c r="BE35" s="128">
        <f>BE37</f>
        <v>29633</v>
      </c>
      <c r="BF35" s="128">
        <v>0</v>
      </c>
      <c r="BG35" s="80" t="s">
        <v>277</v>
      </c>
    </row>
    <row r="36" spans="1:59" s="89" customFormat="1" ht="21.75" hidden="1" customHeight="1" x14ac:dyDescent="0.2">
      <c r="A36" s="122"/>
      <c r="B36" s="228" t="s">
        <v>242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9"/>
      <c r="AY36" s="101"/>
      <c r="AZ36" s="102"/>
      <c r="BA36" s="129"/>
      <c r="BB36" s="129">
        <v>7800</v>
      </c>
      <c r="BC36" s="129"/>
      <c r="BD36" s="129"/>
      <c r="BE36" s="129"/>
      <c r="BF36" s="129"/>
      <c r="BG36" s="106"/>
    </row>
    <row r="37" spans="1:59" s="89" customFormat="1" ht="41.25" hidden="1" customHeight="1" x14ac:dyDescent="0.2">
      <c r="A37" s="122"/>
      <c r="B37" s="228" t="s">
        <v>276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9"/>
      <c r="AY37" s="101"/>
      <c r="AZ37" s="102"/>
      <c r="BA37" s="129"/>
      <c r="BB37" s="129"/>
      <c r="BC37" s="129"/>
      <c r="BD37" s="129"/>
      <c r="BE37" s="129">
        <f>2500+27133</f>
        <v>29633</v>
      </c>
      <c r="BF37" s="129"/>
      <c r="BG37" s="106"/>
    </row>
    <row r="38" spans="1:59" s="89" customFormat="1" ht="39.75" hidden="1" customHeight="1" x14ac:dyDescent="0.2">
      <c r="A38" s="122"/>
      <c r="B38" s="228" t="s">
        <v>280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9"/>
      <c r="AY38" s="101"/>
      <c r="AZ38" s="102"/>
      <c r="BA38" s="129"/>
      <c r="BB38" s="129">
        <f>45600+2900-8080</f>
        <v>40420</v>
      </c>
      <c r="BC38" s="129"/>
      <c r="BD38" s="129"/>
      <c r="BE38" s="129"/>
      <c r="BF38" s="129"/>
      <c r="BG38" s="106"/>
    </row>
    <row r="39" spans="1:59" ht="50.25" customHeight="1" x14ac:dyDescent="0.2">
      <c r="A39" s="136"/>
      <c r="B39" s="155"/>
      <c r="C39" s="218" t="s">
        <v>223</v>
      </c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72" t="s">
        <v>20</v>
      </c>
      <c r="BA39" s="127">
        <f>BB39+BC39+BD39+BE39</f>
        <v>166580</v>
      </c>
      <c r="BB39" s="128">
        <f>BB40+BB41</f>
        <v>166580</v>
      </c>
      <c r="BC39" s="128">
        <v>0</v>
      </c>
      <c r="BD39" s="128">
        <v>0</v>
      </c>
      <c r="BE39" s="128"/>
      <c r="BF39" s="128">
        <v>0</v>
      </c>
    </row>
    <row r="40" spans="1:59" s="89" customFormat="1" ht="21.75" hidden="1" customHeight="1" x14ac:dyDescent="0.2">
      <c r="A40" s="122"/>
      <c r="B40" s="228" t="s">
        <v>249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9"/>
      <c r="AY40" s="101"/>
      <c r="AZ40" s="102"/>
      <c r="BA40" s="129"/>
      <c r="BB40" s="129">
        <f>86400+5180</f>
        <v>91580</v>
      </c>
      <c r="BC40" s="129"/>
      <c r="BD40" s="129"/>
      <c r="BE40" s="129"/>
      <c r="BF40" s="129"/>
      <c r="BG40" s="106"/>
    </row>
    <row r="41" spans="1:59" s="89" customFormat="1" ht="21.75" hidden="1" customHeight="1" x14ac:dyDescent="0.2">
      <c r="A41" s="122"/>
      <c r="B41" s="228" t="s">
        <v>243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9"/>
      <c r="AY41" s="101"/>
      <c r="AZ41" s="102"/>
      <c r="BA41" s="129"/>
      <c r="BB41" s="129">
        <v>75000</v>
      </c>
      <c r="BC41" s="129"/>
      <c r="BD41" s="129"/>
      <c r="BE41" s="129"/>
      <c r="BF41" s="129"/>
      <c r="BG41" s="106"/>
    </row>
    <row r="42" spans="1:59" ht="24" customHeight="1" x14ac:dyDescent="0.2">
      <c r="A42" s="5"/>
      <c r="B42" s="216" t="s">
        <v>37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7"/>
      <c r="AY42" s="12">
        <v>220</v>
      </c>
      <c r="AZ42" s="72"/>
      <c r="BA42" s="127">
        <f>BA44</f>
        <v>0</v>
      </c>
      <c r="BB42" s="131">
        <f t="shared" ref="BB42:BF42" si="3">BB44</f>
        <v>0</v>
      </c>
      <c r="BC42" s="131">
        <f t="shared" si="3"/>
        <v>0</v>
      </c>
      <c r="BD42" s="131">
        <f t="shared" si="3"/>
        <v>0</v>
      </c>
      <c r="BE42" s="131">
        <f t="shared" si="3"/>
        <v>0</v>
      </c>
      <c r="BF42" s="131">
        <f t="shared" si="3"/>
        <v>0</v>
      </c>
    </row>
    <row r="43" spans="1:59" ht="12.75" customHeight="1" x14ac:dyDescent="0.2">
      <c r="A43" s="6"/>
      <c r="B43" s="7"/>
      <c r="C43" s="218" t="s">
        <v>12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/>
      <c r="AZ43" s="72"/>
      <c r="BA43" s="127"/>
      <c r="BB43" s="128"/>
      <c r="BC43" s="128"/>
      <c r="BD43" s="128"/>
      <c r="BE43" s="128"/>
      <c r="BF43" s="128"/>
    </row>
    <row r="44" spans="1:59" ht="14.25" customHeight="1" x14ac:dyDescent="0.2">
      <c r="A44" s="136"/>
      <c r="B44" s="155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/>
      <c r="AZ44" s="72" t="s">
        <v>17</v>
      </c>
      <c r="BA44" s="127">
        <f>BB44+BC44+BD44+BE44</f>
        <v>0</v>
      </c>
      <c r="BB44" s="128">
        <v>0</v>
      </c>
      <c r="BC44" s="128">
        <v>0</v>
      </c>
      <c r="BD44" s="128">
        <v>0</v>
      </c>
      <c r="BE44" s="128">
        <v>0</v>
      </c>
      <c r="BF44" s="128">
        <v>0</v>
      </c>
    </row>
    <row r="45" spans="1:59" ht="12.75" customHeight="1" x14ac:dyDescent="0.2">
      <c r="A45" s="136"/>
      <c r="B45" s="155"/>
      <c r="C45" s="216" t="s">
        <v>38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7"/>
      <c r="AY45" s="12">
        <v>230</v>
      </c>
      <c r="AZ45" s="72"/>
      <c r="BA45" s="127">
        <f t="shared" ref="BA45:BF45" si="4">BA50+BA53+BA57+BA47</f>
        <v>606817.87</v>
      </c>
      <c r="BB45" s="131">
        <f t="shared" si="4"/>
        <v>412727</v>
      </c>
      <c r="BC45" s="131">
        <f t="shared" si="4"/>
        <v>178179.51</v>
      </c>
      <c r="BD45" s="131">
        <f t="shared" si="4"/>
        <v>0</v>
      </c>
      <c r="BE45" s="131">
        <f t="shared" si="4"/>
        <v>15911.36</v>
      </c>
      <c r="BF45" s="131">
        <f t="shared" si="4"/>
        <v>0</v>
      </c>
    </row>
    <row r="46" spans="1:59" ht="18" customHeight="1" x14ac:dyDescent="0.2">
      <c r="A46" s="136"/>
      <c r="B46" s="155"/>
      <c r="C46" s="218" t="s">
        <v>12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9"/>
      <c r="AY46" s="8"/>
      <c r="AZ46" s="72"/>
      <c r="BA46" s="127"/>
      <c r="BB46" s="128"/>
      <c r="BC46" s="128"/>
      <c r="BD46" s="128"/>
      <c r="BE46" s="128"/>
      <c r="BF46" s="128"/>
    </row>
    <row r="47" spans="1:59" ht="36.75" customHeight="1" x14ac:dyDescent="0.2">
      <c r="A47" s="246" t="s">
        <v>218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8"/>
      <c r="AY47" s="8"/>
      <c r="AZ47" s="72" t="s">
        <v>144</v>
      </c>
      <c r="BA47" s="127">
        <f>BB47+BC47+BD47+BE47</f>
        <v>189090.87</v>
      </c>
      <c r="BB47" s="128"/>
      <c r="BC47" s="128">
        <f>BC48+BC49</f>
        <v>178179.51</v>
      </c>
      <c r="BD47" s="128">
        <v>0</v>
      </c>
      <c r="BE47" s="128">
        <f>BE48</f>
        <v>10911.36</v>
      </c>
      <c r="BF47" s="128">
        <v>0</v>
      </c>
      <c r="BG47" s="80" t="s">
        <v>190</v>
      </c>
    </row>
    <row r="48" spans="1:59" s="89" customFormat="1" ht="27.75" hidden="1" customHeight="1" x14ac:dyDescent="0.2">
      <c r="A48" s="271" t="s">
        <v>278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3"/>
      <c r="AY48" s="101"/>
      <c r="AZ48" s="102"/>
      <c r="BA48" s="129"/>
      <c r="BB48" s="129"/>
      <c r="BC48" s="129">
        <f>17025.64+20023</f>
        <v>37048.639999999999</v>
      </c>
      <c r="BD48" s="129"/>
      <c r="BE48" s="129">
        <f>10911.36</f>
        <v>10911.36</v>
      </c>
      <c r="BF48" s="129"/>
      <c r="BG48" s="106"/>
    </row>
    <row r="49" spans="1:63" s="89" customFormat="1" ht="16.5" hidden="1" customHeight="1" x14ac:dyDescent="0.2">
      <c r="A49" s="227" t="s">
        <v>279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9"/>
      <c r="AY49" s="101"/>
      <c r="AZ49" s="102"/>
      <c r="BA49" s="129"/>
      <c r="BB49" s="129"/>
      <c r="BC49" s="129">
        <f>104874.36+36256.51</f>
        <v>141130.87</v>
      </c>
      <c r="BD49" s="129"/>
      <c r="BE49" s="129"/>
      <c r="BF49" s="129"/>
      <c r="BG49" s="106"/>
    </row>
    <row r="50" spans="1:63" ht="28.5" customHeight="1" x14ac:dyDescent="0.2">
      <c r="A50" s="135"/>
      <c r="B50" s="218" t="s">
        <v>219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9"/>
      <c r="AY50" s="8"/>
      <c r="AZ50" s="72" t="s">
        <v>21</v>
      </c>
      <c r="BA50" s="127">
        <f>BB50+BC50+BD50+BE50</f>
        <v>377240</v>
      </c>
      <c r="BB50" s="128">
        <f>SUM(BB51:BB52)</f>
        <v>377240</v>
      </c>
      <c r="BC50" s="128">
        <v>0</v>
      </c>
      <c r="BD50" s="128">
        <v>0</v>
      </c>
      <c r="BE50" s="128">
        <v>0</v>
      </c>
      <c r="BF50" s="128">
        <v>0</v>
      </c>
      <c r="BG50" s="80" t="s">
        <v>183</v>
      </c>
    </row>
    <row r="51" spans="1:63" s="89" customFormat="1" ht="12.75" hidden="1" customHeight="1" x14ac:dyDescent="0.2">
      <c r="A51" s="213" t="s">
        <v>245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5"/>
      <c r="AY51" s="101"/>
      <c r="AZ51" s="102"/>
      <c r="BA51" s="129"/>
      <c r="BB51" s="129">
        <v>351159</v>
      </c>
      <c r="BC51" s="129"/>
      <c r="BD51" s="129"/>
      <c r="BE51" s="129"/>
      <c r="BF51" s="129"/>
      <c r="BG51" s="106"/>
    </row>
    <row r="52" spans="1:63" s="89" customFormat="1" ht="12.75" hidden="1" customHeight="1" x14ac:dyDescent="0.2">
      <c r="A52" s="213" t="s">
        <v>244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5"/>
      <c r="AY52" s="101"/>
      <c r="AZ52" s="102"/>
      <c r="BA52" s="129"/>
      <c r="BB52" s="129">
        <f>290270-264189</f>
        <v>26081</v>
      </c>
      <c r="BC52" s="129"/>
      <c r="BD52" s="129"/>
      <c r="BE52" s="129"/>
      <c r="BF52" s="129"/>
      <c r="BG52" s="106"/>
    </row>
    <row r="53" spans="1:63" ht="12.75" customHeight="1" x14ac:dyDescent="0.2">
      <c r="A53" s="6"/>
      <c r="B53" s="7"/>
      <c r="C53" s="218" t="s">
        <v>224</v>
      </c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9"/>
      <c r="AY53" s="8"/>
      <c r="AZ53" s="72" t="s">
        <v>18</v>
      </c>
      <c r="BA53" s="127">
        <f>BB53+BC53+BD53+BE53</f>
        <v>35487</v>
      </c>
      <c r="BB53" s="128">
        <f>BB54+BB55+BB56</f>
        <v>35487</v>
      </c>
      <c r="BC53" s="128">
        <v>0</v>
      </c>
      <c r="BD53" s="128">
        <v>0</v>
      </c>
      <c r="BE53" s="128">
        <f>SUM(BE54:BE56)</f>
        <v>0</v>
      </c>
      <c r="BF53" s="128">
        <v>0</v>
      </c>
    </row>
    <row r="54" spans="1:63" s="89" customFormat="1" ht="12.75" hidden="1" customHeight="1" x14ac:dyDescent="0.2">
      <c r="A54" s="213" t="s">
        <v>246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5"/>
      <c r="AY54" s="101"/>
      <c r="AZ54" s="102"/>
      <c r="BA54" s="129"/>
      <c r="BB54" s="129">
        <v>1451</v>
      </c>
      <c r="BC54" s="129"/>
      <c r="BD54" s="129"/>
      <c r="BE54" s="129"/>
      <c r="BF54" s="129"/>
      <c r="BG54" s="106"/>
    </row>
    <row r="55" spans="1:63" s="89" customFormat="1" ht="17.25" hidden="1" customHeight="1" x14ac:dyDescent="0.2">
      <c r="A55" s="213" t="s">
        <v>247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5"/>
      <c r="AY55" s="101"/>
      <c r="AZ55" s="102"/>
      <c r="BA55" s="129"/>
      <c r="BB55" s="129">
        <v>33580</v>
      </c>
      <c r="BC55" s="129"/>
      <c r="BD55" s="129"/>
      <c r="BE55" s="129"/>
      <c r="BF55" s="129"/>
      <c r="BG55" s="106"/>
    </row>
    <row r="56" spans="1:63" s="89" customFormat="1" ht="12.75" hidden="1" customHeight="1" x14ac:dyDescent="0.2">
      <c r="A56" s="213" t="s">
        <v>248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5"/>
      <c r="AY56" s="101"/>
      <c r="AZ56" s="102"/>
      <c r="BA56" s="129"/>
      <c r="BB56" s="129">
        <v>456</v>
      </c>
      <c r="BC56" s="129"/>
      <c r="BD56" s="129"/>
      <c r="BE56" s="129">
        <f>2000+7000-2400-3850-2750</f>
        <v>0</v>
      </c>
      <c r="BF56" s="129"/>
      <c r="BG56" s="106"/>
    </row>
    <row r="57" spans="1:63" ht="12.75" x14ac:dyDescent="0.2">
      <c r="A57" s="136"/>
      <c r="B57" s="155"/>
      <c r="C57" s="218" t="s">
        <v>225</v>
      </c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9"/>
      <c r="AY57" s="8"/>
      <c r="AZ57" s="72" t="s">
        <v>19</v>
      </c>
      <c r="BA57" s="127">
        <f t="shared" ref="BA57" si="5">BB57+BC57+BD57+BE57</f>
        <v>5000</v>
      </c>
      <c r="BB57" s="128">
        <f>SUM(BB58:BB59)</f>
        <v>0</v>
      </c>
      <c r="BC57" s="128">
        <v>0</v>
      </c>
      <c r="BD57" s="128">
        <v>0</v>
      </c>
      <c r="BE57" s="128">
        <f>SUM(BE58:BE59)</f>
        <v>5000</v>
      </c>
      <c r="BF57" s="128">
        <v>0</v>
      </c>
      <c r="BG57" s="211" t="s">
        <v>282</v>
      </c>
      <c r="BH57" s="212"/>
      <c r="BI57" s="212"/>
      <c r="BJ57" s="212"/>
      <c r="BK57" s="212"/>
    </row>
    <row r="58" spans="1:63" s="89" customFormat="1" ht="30" hidden="1" customHeight="1" x14ac:dyDescent="0.2">
      <c r="A58" s="213" t="s">
        <v>272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5"/>
      <c r="AY58" s="101"/>
      <c r="AZ58" s="102"/>
      <c r="BA58" s="129"/>
      <c r="BB58" s="129"/>
      <c r="BC58" s="129"/>
      <c r="BD58" s="129"/>
      <c r="BE58" s="129">
        <f>2000</f>
        <v>2000</v>
      </c>
      <c r="BF58" s="129"/>
      <c r="BG58" s="106" t="s">
        <v>271</v>
      </c>
    </row>
    <row r="59" spans="1:63" s="89" customFormat="1" ht="12.75" hidden="1" customHeight="1" x14ac:dyDescent="0.2">
      <c r="A59" s="213" t="s">
        <v>284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5"/>
      <c r="AY59" s="101"/>
      <c r="AZ59" s="102"/>
      <c r="BA59" s="129"/>
      <c r="BB59" s="129">
        <f>6290.89-6290.89</f>
        <v>0</v>
      </c>
      <c r="BC59" s="129"/>
      <c r="BD59" s="129"/>
      <c r="BE59" s="129">
        <v>3000</v>
      </c>
      <c r="BF59" s="129"/>
      <c r="BG59" s="106" t="s">
        <v>283</v>
      </c>
    </row>
    <row r="60" spans="1:63" ht="12.75" customHeight="1" x14ac:dyDescent="0.2">
      <c r="A60" s="136"/>
      <c r="B60" s="155"/>
      <c r="C60" s="216" t="s">
        <v>39</v>
      </c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7"/>
      <c r="AY60" s="12">
        <v>240</v>
      </c>
      <c r="AZ60" s="72"/>
      <c r="BA60" s="127"/>
      <c r="BB60" s="131"/>
      <c r="BC60" s="131"/>
      <c r="BD60" s="131"/>
      <c r="BE60" s="131"/>
      <c r="BF60" s="131"/>
    </row>
    <row r="61" spans="1:63" ht="12.75" customHeight="1" x14ac:dyDescent="0.2">
      <c r="A61" s="136"/>
      <c r="B61" s="155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9"/>
      <c r="AY61" s="8"/>
      <c r="AZ61" s="72"/>
      <c r="BA61" s="127"/>
      <c r="BB61" s="128"/>
      <c r="BC61" s="128"/>
      <c r="BD61" s="128"/>
      <c r="BE61" s="128"/>
      <c r="BF61" s="128"/>
    </row>
    <row r="62" spans="1:63" ht="12.75" customHeight="1" x14ac:dyDescent="0.2">
      <c r="A62" s="136"/>
      <c r="B62" s="155"/>
      <c r="C62" s="216" t="s">
        <v>40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7"/>
      <c r="AY62" s="12">
        <v>250</v>
      </c>
      <c r="AZ62" s="72" t="s">
        <v>49</v>
      </c>
      <c r="BA62" s="127">
        <f>BD62</f>
        <v>0</v>
      </c>
      <c r="BB62" s="131">
        <v>0</v>
      </c>
      <c r="BC62" s="131">
        <v>0</v>
      </c>
      <c r="BD62" s="131">
        <v>0</v>
      </c>
      <c r="BE62" s="131">
        <v>0</v>
      </c>
      <c r="BF62" s="131">
        <v>0</v>
      </c>
      <c r="BG62" s="80" t="s">
        <v>50</v>
      </c>
    </row>
    <row r="63" spans="1:63" ht="15.75" customHeight="1" x14ac:dyDescent="0.2">
      <c r="A63" s="5"/>
      <c r="B63" s="216" t="s">
        <v>226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7"/>
      <c r="AY63" s="12">
        <v>260</v>
      </c>
      <c r="AZ63" s="72" t="s">
        <v>13</v>
      </c>
      <c r="BA63" s="127">
        <f>BB63+BC63+BD63+BE63</f>
        <v>6253980.71</v>
      </c>
      <c r="BB63" s="131">
        <f>SUM(BB64:BB99)</f>
        <v>3537362.1900000004</v>
      </c>
      <c r="BC63" s="131">
        <f>SUM(BC64:BC123)</f>
        <v>1912289.9</v>
      </c>
      <c r="BD63" s="131">
        <v>0</v>
      </c>
      <c r="BE63" s="131">
        <f>SUM(BE64:BE123)</f>
        <v>804328.62</v>
      </c>
      <c r="BF63" s="131">
        <v>0</v>
      </c>
    </row>
    <row r="64" spans="1:63" s="89" customFormat="1" ht="12.75" hidden="1" customHeight="1" x14ac:dyDescent="0.2">
      <c r="A64" s="227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9"/>
      <c r="AY64" s="233">
        <v>4000</v>
      </c>
      <c r="AZ64" s="102" t="s">
        <v>153</v>
      </c>
      <c r="BA64" s="129"/>
      <c r="BB64" s="129">
        <v>44400</v>
      </c>
      <c r="BC64" s="129"/>
      <c r="BD64" s="129"/>
      <c r="BE64" s="129"/>
      <c r="BF64" s="129"/>
      <c r="BG64" s="236" t="s">
        <v>145</v>
      </c>
    </row>
    <row r="65" spans="1:60" s="89" customFormat="1" ht="12.75" hidden="1" customHeight="1" x14ac:dyDescent="0.2">
      <c r="A65" s="227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9"/>
      <c r="AY65" s="234"/>
      <c r="AZ65" s="102" t="s">
        <v>154</v>
      </c>
      <c r="BA65" s="129"/>
      <c r="BB65" s="129">
        <v>1158837</v>
      </c>
      <c r="BC65" s="129"/>
      <c r="BD65" s="129"/>
      <c r="BE65" s="129"/>
      <c r="BF65" s="129"/>
      <c r="BG65" s="236"/>
    </row>
    <row r="66" spans="1:60" s="89" customFormat="1" ht="12.75" hidden="1" customHeight="1" x14ac:dyDescent="0.2">
      <c r="A66" s="227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9"/>
      <c r="AY66" s="234"/>
      <c r="AZ66" s="102" t="s">
        <v>155</v>
      </c>
      <c r="BA66" s="129"/>
      <c r="BB66" s="129">
        <v>939762</v>
      </c>
      <c r="BC66" s="129"/>
      <c r="BD66" s="129"/>
      <c r="BE66" s="129"/>
      <c r="BF66" s="129"/>
      <c r="BG66" s="236"/>
    </row>
    <row r="67" spans="1:60" s="89" customFormat="1" ht="12.75" hidden="1" customHeight="1" x14ac:dyDescent="0.2">
      <c r="A67" s="227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9"/>
      <c r="AY67" s="234"/>
      <c r="AZ67" s="102" t="s">
        <v>156</v>
      </c>
      <c r="BA67" s="129"/>
      <c r="BB67" s="129">
        <v>51063</v>
      </c>
      <c r="BC67" s="129"/>
      <c r="BD67" s="129"/>
      <c r="BE67" s="129"/>
      <c r="BF67" s="129"/>
      <c r="BG67" s="236"/>
    </row>
    <row r="68" spans="1:60" s="89" customFormat="1" ht="12.75" hidden="1" customHeight="1" x14ac:dyDescent="0.2">
      <c r="A68" s="165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7"/>
      <c r="AY68" s="234"/>
      <c r="AZ68" s="102" t="s">
        <v>252</v>
      </c>
      <c r="BA68" s="129"/>
      <c r="BB68" s="129">
        <v>20002.54</v>
      </c>
      <c r="BC68" s="129"/>
      <c r="BD68" s="129"/>
      <c r="BE68" s="129"/>
      <c r="BF68" s="129"/>
      <c r="BG68" s="236"/>
    </row>
    <row r="69" spans="1:60" s="89" customFormat="1" ht="12.75" hidden="1" customHeight="1" x14ac:dyDescent="0.2">
      <c r="A69" s="227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9"/>
      <c r="AY69" s="234"/>
      <c r="AZ69" s="102" t="s">
        <v>157</v>
      </c>
      <c r="BA69" s="129"/>
      <c r="BB69" s="129">
        <f>457193.28+31073.92-20002.54-27000-22473.92</f>
        <v>418790.74000000005</v>
      </c>
      <c r="BC69" s="129"/>
      <c r="BD69" s="129"/>
      <c r="BE69" s="129"/>
      <c r="BF69" s="129"/>
      <c r="BG69" s="236"/>
    </row>
    <row r="70" spans="1:60" s="89" customFormat="1" ht="12.75" hidden="1" customHeight="1" x14ac:dyDescent="0.2">
      <c r="A70" s="227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9"/>
      <c r="AY70" s="234"/>
      <c r="AZ70" s="102" t="s">
        <v>158</v>
      </c>
      <c r="BA70" s="129"/>
      <c r="BB70" s="129">
        <f>763004.02-50313.7-132000+53358+27000+1809.7</f>
        <v>662858.02</v>
      </c>
      <c r="BC70" s="129"/>
      <c r="BD70" s="129"/>
      <c r="BE70" s="129"/>
      <c r="BF70" s="129"/>
      <c r="BG70" s="236"/>
    </row>
    <row r="71" spans="1:60" s="89" customFormat="1" ht="12.75" hidden="1" customHeight="1" x14ac:dyDescent="0.2">
      <c r="A71" s="227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9"/>
      <c r="AY71" s="234"/>
      <c r="AZ71" s="102" t="s">
        <v>237</v>
      </c>
      <c r="BA71" s="129"/>
      <c r="BB71" s="129"/>
      <c r="BC71" s="129"/>
      <c r="BD71" s="129"/>
      <c r="BE71" s="129"/>
      <c r="BF71" s="129"/>
      <c r="BG71" s="236"/>
    </row>
    <row r="72" spans="1:60" s="89" customFormat="1" ht="12.75" hidden="1" customHeight="1" x14ac:dyDescent="0.2">
      <c r="A72" s="227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9"/>
      <c r="AY72" s="234"/>
      <c r="AZ72" s="102" t="s">
        <v>236</v>
      </c>
      <c r="BA72" s="129"/>
      <c r="BB72" s="129">
        <f>37260+20664.22</f>
        <v>57924.22</v>
      </c>
      <c r="BC72" s="129"/>
      <c r="BD72" s="129"/>
      <c r="BE72" s="129"/>
      <c r="BF72" s="129"/>
      <c r="BG72" s="236"/>
    </row>
    <row r="73" spans="1:60" s="89" customFormat="1" ht="12.75" hidden="1" customHeight="1" x14ac:dyDescent="0.2">
      <c r="A73" s="227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9"/>
      <c r="AY73" s="234"/>
      <c r="AZ73" s="102" t="s">
        <v>235</v>
      </c>
      <c r="BA73" s="129"/>
      <c r="BB73" s="129">
        <v>749</v>
      </c>
      <c r="BC73" s="129"/>
      <c r="BD73" s="129"/>
      <c r="BE73" s="129"/>
      <c r="BF73" s="129"/>
      <c r="BG73" s="236"/>
    </row>
    <row r="74" spans="1:60" s="89" customFormat="1" ht="12.75" hidden="1" customHeight="1" x14ac:dyDescent="0.2">
      <c r="A74" s="227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9"/>
      <c r="AY74" s="234"/>
      <c r="AZ74" s="102" t="s">
        <v>238</v>
      </c>
      <c r="BA74" s="129"/>
      <c r="BB74" s="129">
        <v>4500</v>
      </c>
      <c r="BC74" s="129"/>
      <c r="BD74" s="129"/>
      <c r="BE74" s="129"/>
      <c r="BF74" s="129"/>
      <c r="BG74" s="236"/>
    </row>
    <row r="75" spans="1:60" s="89" customFormat="1" ht="12.75" hidden="1" customHeight="1" x14ac:dyDescent="0.2">
      <c r="A75" s="227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9"/>
      <c r="AY75" s="234"/>
      <c r="AZ75" s="102" t="s">
        <v>205</v>
      </c>
      <c r="BA75" s="129"/>
      <c r="BB75" s="129">
        <f>127408.7-75878.22-749</f>
        <v>50781.479999999996</v>
      </c>
      <c r="BC75" s="129"/>
      <c r="BD75" s="129"/>
      <c r="BE75" s="129"/>
      <c r="BF75" s="129"/>
      <c r="BG75" s="236"/>
    </row>
    <row r="76" spans="1:60" s="89" customFormat="1" ht="12.75" hidden="1" customHeight="1" x14ac:dyDescent="0.2">
      <c r="A76" s="227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9"/>
      <c r="AY76" s="234"/>
      <c r="AZ76" s="102" t="s">
        <v>234</v>
      </c>
      <c r="BA76" s="129"/>
      <c r="BB76" s="129">
        <v>0</v>
      </c>
      <c r="BC76" s="129"/>
      <c r="BD76" s="129"/>
      <c r="BE76" s="129"/>
      <c r="BF76" s="129"/>
      <c r="BG76" s="236"/>
    </row>
    <row r="77" spans="1:60" s="89" customFormat="1" ht="12.75" hidden="1" customHeight="1" x14ac:dyDescent="0.2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9"/>
      <c r="AY77" s="234"/>
      <c r="AZ77" s="102"/>
      <c r="BA77" s="129"/>
      <c r="BB77" s="129"/>
      <c r="BC77" s="129"/>
      <c r="BD77" s="129"/>
      <c r="BE77" s="129"/>
      <c r="BF77" s="129"/>
      <c r="BG77" s="236"/>
    </row>
    <row r="78" spans="1:60" s="89" customFormat="1" ht="12.75" hidden="1" customHeight="1" x14ac:dyDescent="0.2">
      <c r="A78" s="227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9"/>
      <c r="AY78" s="234"/>
      <c r="AZ78" s="102"/>
      <c r="BA78" s="129"/>
      <c r="BB78" s="129"/>
      <c r="BC78" s="129"/>
      <c r="BD78" s="129"/>
      <c r="BE78" s="129"/>
      <c r="BF78" s="129"/>
      <c r="BG78" s="236"/>
    </row>
    <row r="79" spans="1:60" s="89" customFormat="1" ht="12.75" hidden="1" customHeight="1" x14ac:dyDescent="0.2">
      <c r="A79" s="227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9"/>
      <c r="AY79" s="237">
        <v>4199</v>
      </c>
      <c r="AZ79" s="102" t="s">
        <v>153</v>
      </c>
      <c r="BA79" s="129"/>
      <c r="BB79" s="129">
        <f>8533.5-3963.52</f>
        <v>4569.9799999999996</v>
      </c>
      <c r="BC79" s="129"/>
      <c r="BD79" s="129"/>
      <c r="BE79" s="129"/>
      <c r="BF79" s="129"/>
      <c r="BG79" s="236"/>
    </row>
    <row r="80" spans="1:60" s="89" customFormat="1" ht="12.75" hidden="1" customHeight="1" x14ac:dyDescent="0.2">
      <c r="A80" s="227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9"/>
      <c r="AY80" s="237"/>
      <c r="AZ80" s="102" t="s">
        <v>154</v>
      </c>
      <c r="BA80" s="129"/>
      <c r="BB80" s="129">
        <f>139969.5-72278.83</f>
        <v>67690.67</v>
      </c>
      <c r="BC80" s="129"/>
      <c r="BD80" s="129"/>
      <c r="BE80" s="129"/>
      <c r="BF80" s="129"/>
      <c r="BG80" s="236"/>
      <c r="BH80" s="137"/>
    </row>
    <row r="81" spans="1:59" s="89" customFormat="1" ht="12.75" hidden="1" customHeight="1" x14ac:dyDescent="0.2">
      <c r="A81" s="227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9"/>
      <c r="AY81" s="237"/>
      <c r="AZ81" s="102" t="s">
        <v>155</v>
      </c>
      <c r="BA81" s="129"/>
      <c r="BB81" s="129">
        <f>536761.64-507770.47</f>
        <v>28991.170000000042</v>
      </c>
      <c r="BC81" s="129"/>
      <c r="BD81" s="129"/>
      <c r="BE81" s="129"/>
      <c r="BF81" s="129"/>
      <c r="BG81" s="236"/>
    </row>
    <row r="82" spans="1:59" s="89" customFormat="1" ht="12.75" hidden="1" customHeight="1" x14ac:dyDescent="0.2">
      <c r="A82" s="227"/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9"/>
      <c r="AY82" s="237"/>
      <c r="AZ82" s="102" t="s">
        <v>156</v>
      </c>
      <c r="BA82" s="129"/>
      <c r="BB82" s="129">
        <f>16489.57-13668.1</f>
        <v>2821.4699999999993</v>
      </c>
      <c r="BC82" s="129"/>
      <c r="BD82" s="129"/>
      <c r="BE82" s="129"/>
      <c r="BF82" s="129"/>
      <c r="BG82" s="236"/>
    </row>
    <row r="83" spans="1:59" s="89" customFormat="1" ht="12.75" hidden="1" customHeight="1" x14ac:dyDescent="0.2">
      <c r="A83" s="132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4"/>
      <c r="AY83" s="237"/>
      <c r="AZ83" s="102" t="s">
        <v>157</v>
      </c>
      <c r="BA83" s="129"/>
      <c r="BB83" s="129">
        <f>4163.41+11384.49</f>
        <v>15547.9</v>
      </c>
      <c r="BC83" s="129"/>
      <c r="BD83" s="129"/>
      <c r="BE83" s="129"/>
      <c r="BF83" s="129"/>
      <c r="BG83" s="236"/>
    </row>
    <row r="84" spans="1:59" s="89" customFormat="1" ht="12.75" hidden="1" customHeight="1" x14ac:dyDescent="0.2">
      <c r="A84" s="132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4"/>
      <c r="AY84" s="237"/>
      <c r="AZ84" s="102" t="s">
        <v>205</v>
      </c>
      <c r="BA84" s="129"/>
      <c r="BB84" s="129">
        <f>21804-21804</f>
        <v>0</v>
      </c>
      <c r="BC84" s="129"/>
      <c r="BD84" s="129"/>
      <c r="BE84" s="129"/>
      <c r="BF84" s="129"/>
      <c r="BG84" s="236"/>
    </row>
    <row r="85" spans="1:59" s="89" customFormat="1" ht="12.75" hidden="1" customHeight="1" x14ac:dyDescent="0.2">
      <c r="A85" s="132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4"/>
      <c r="AY85" s="237"/>
      <c r="AZ85" s="102" t="s">
        <v>236</v>
      </c>
      <c r="BA85" s="129"/>
      <c r="BB85" s="129">
        <f>21804-13731</f>
        <v>8073</v>
      </c>
      <c r="BC85" s="129"/>
      <c r="BD85" s="129"/>
      <c r="BE85" s="129"/>
      <c r="BF85" s="129"/>
      <c r="BG85" s="236"/>
    </row>
    <row r="86" spans="1:59" s="89" customFormat="1" ht="12.75" hidden="1" customHeight="1" x14ac:dyDescent="0.2">
      <c r="A86" s="138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4"/>
      <c r="AY86" s="237"/>
      <c r="AZ86" s="102"/>
      <c r="BA86" s="129"/>
      <c r="BB86" s="129"/>
      <c r="BC86" s="129"/>
      <c r="BD86" s="129"/>
      <c r="BE86" s="129"/>
      <c r="BF86" s="129"/>
      <c r="BG86" s="236"/>
    </row>
    <row r="87" spans="1:59" s="89" customFormat="1" ht="12.75" hidden="1" customHeight="1" x14ac:dyDescent="0.2">
      <c r="A87" s="138"/>
      <c r="B87" s="133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9"/>
      <c r="AY87" s="237"/>
      <c r="AZ87" s="102"/>
      <c r="BA87" s="129"/>
      <c r="BB87" s="129"/>
      <c r="BC87" s="129"/>
      <c r="BD87" s="129"/>
      <c r="BE87" s="129"/>
      <c r="BF87" s="129"/>
      <c r="BG87" s="236"/>
    </row>
    <row r="88" spans="1:59" s="89" customFormat="1" ht="12.75" hidden="1" customHeight="1" x14ac:dyDescent="0.2">
      <c r="A88" s="138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4"/>
      <c r="AY88" s="237"/>
      <c r="AZ88" s="102"/>
      <c r="BA88" s="129"/>
      <c r="BB88" s="129"/>
      <c r="BC88" s="129"/>
      <c r="BD88" s="129"/>
      <c r="BE88" s="129"/>
      <c r="BF88" s="129"/>
      <c r="BG88" s="236"/>
    </row>
    <row r="89" spans="1:59" s="89" customFormat="1" ht="12.75" hidden="1" customHeight="1" x14ac:dyDescent="0.2">
      <c r="A89" s="227" t="s">
        <v>169</v>
      </c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9"/>
      <c r="AY89" s="101"/>
      <c r="AZ89" s="102" t="s">
        <v>206</v>
      </c>
      <c r="BA89" s="129"/>
      <c r="BB89" s="129"/>
      <c r="BC89" s="129">
        <f>13696</f>
        <v>13696</v>
      </c>
      <c r="BD89" s="129"/>
      <c r="BE89" s="129"/>
      <c r="BF89" s="129"/>
      <c r="BG89" s="236"/>
    </row>
    <row r="90" spans="1:59" s="89" customFormat="1" ht="12.75" hidden="1" customHeight="1" x14ac:dyDescent="0.2">
      <c r="A90" s="227" t="s">
        <v>169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9"/>
      <c r="AY90" s="101"/>
      <c r="AZ90" s="102" t="s">
        <v>158</v>
      </c>
      <c r="BA90" s="129"/>
      <c r="BB90" s="129"/>
      <c r="BC90" s="129">
        <f>23684</f>
        <v>23684</v>
      </c>
      <c r="BD90" s="129"/>
      <c r="BE90" s="129"/>
      <c r="BF90" s="129"/>
      <c r="BG90" s="236"/>
    </row>
    <row r="91" spans="1:59" s="89" customFormat="1" ht="14.25" hidden="1" customHeight="1" x14ac:dyDescent="0.2">
      <c r="A91" s="227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9"/>
      <c r="AY91" s="101"/>
      <c r="AZ91" s="102"/>
      <c r="BA91" s="129"/>
      <c r="BB91" s="129"/>
      <c r="BC91" s="129"/>
      <c r="BD91" s="129"/>
      <c r="BE91" s="129"/>
      <c r="BF91" s="129"/>
      <c r="BG91" s="236"/>
    </row>
    <row r="92" spans="1:59" s="89" customFormat="1" ht="14.25" hidden="1" customHeight="1" x14ac:dyDescent="0.2">
      <c r="A92" s="227" t="s">
        <v>173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9"/>
      <c r="AY92" s="101"/>
      <c r="AZ92" s="102" t="s">
        <v>157</v>
      </c>
      <c r="BA92" s="129"/>
      <c r="BB92" s="129"/>
      <c r="BC92" s="129">
        <f>1060000+814909.9</f>
        <v>1874909.9</v>
      </c>
      <c r="BD92" s="129"/>
      <c r="BE92" s="129"/>
      <c r="BF92" s="129"/>
      <c r="BG92" s="236"/>
    </row>
    <row r="93" spans="1:59" s="89" customFormat="1" ht="14.25" hidden="1" customHeight="1" x14ac:dyDescent="0.2">
      <c r="A93" s="227" t="s">
        <v>173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9"/>
      <c r="AY93" s="101"/>
      <c r="AZ93" s="102"/>
      <c r="BA93" s="129"/>
      <c r="BB93" s="129"/>
      <c r="BC93" s="129"/>
      <c r="BD93" s="129"/>
      <c r="BE93" s="129"/>
      <c r="BF93" s="129"/>
      <c r="BG93" s="236"/>
    </row>
    <row r="94" spans="1:59" s="89" customFormat="1" ht="14.25" hidden="1" customHeight="1" x14ac:dyDescent="0.2">
      <c r="A94" s="227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9"/>
      <c r="AY94" s="233">
        <v>2001</v>
      </c>
      <c r="AZ94" s="102" t="s">
        <v>237</v>
      </c>
      <c r="BA94" s="129"/>
      <c r="BB94" s="129"/>
      <c r="BC94" s="129"/>
      <c r="BD94" s="129"/>
      <c r="BE94" s="129">
        <v>4585.09</v>
      </c>
      <c r="BF94" s="129"/>
      <c r="BG94" s="236"/>
    </row>
    <row r="95" spans="1:59" s="89" customFormat="1" ht="24.75" hidden="1" customHeight="1" x14ac:dyDescent="0.2">
      <c r="A95" s="227" t="s">
        <v>270</v>
      </c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9"/>
      <c r="AY95" s="234"/>
      <c r="AZ95" s="102" t="s">
        <v>205</v>
      </c>
      <c r="BA95" s="129"/>
      <c r="BB95" s="129"/>
      <c r="BC95" s="129"/>
      <c r="BD95" s="129"/>
      <c r="BE95" s="129">
        <v>10000</v>
      </c>
      <c r="BF95" s="129"/>
      <c r="BG95" s="236"/>
    </row>
    <row r="96" spans="1:59" s="89" customFormat="1" ht="14.25" hidden="1" customHeight="1" x14ac:dyDescent="0.2">
      <c r="A96" s="161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3"/>
      <c r="AY96" s="234"/>
      <c r="AZ96" s="102" t="s">
        <v>153</v>
      </c>
      <c r="BA96" s="129"/>
      <c r="BB96" s="129"/>
      <c r="BC96" s="129"/>
      <c r="BD96" s="129"/>
      <c r="BE96" s="129">
        <f>24000+2198+23864</f>
        <v>50062</v>
      </c>
      <c r="BF96" s="129"/>
      <c r="BG96" s="236"/>
    </row>
    <row r="97" spans="1:63" s="89" customFormat="1" ht="14.25" hidden="1" customHeight="1" x14ac:dyDescent="0.2">
      <c r="A97" s="165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7" t="s">
        <v>253</v>
      </c>
      <c r="AY97" s="234"/>
      <c r="AZ97" s="102" t="s">
        <v>159</v>
      </c>
      <c r="BA97" s="129"/>
      <c r="BB97" s="129"/>
      <c r="BC97" s="129"/>
      <c r="BD97" s="129"/>
      <c r="BE97" s="129">
        <v>15280.04</v>
      </c>
      <c r="BF97" s="129"/>
      <c r="BG97" s="236"/>
    </row>
    <row r="98" spans="1:63" s="89" customFormat="1" ht="14.25" hidden="1" customHeight="1" x14ac:dyDescent="0.2">
      <c r="A98" s="161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3" t="s">
        <v>160</v>
      </c>
      <c r="AY98" s="234"/>
      <c r="AZ98" s="102" t="s">
        <v>159</v>
      </c>
      <c r="BA98" s="129"/>
      <c r="BB98" s="129"/>
      <c r="BC98" s="129"/>
      <c r="BD98" s="129"/>
      <c r="BE98" s="129">
        <v>72000</v>
      </c>
      <c r="BF98" s="129"/>
      <c r="BG98" s="236"/>
    </row>
    <row r="99" spans="1:63" s="89" customFormat="1" ht="14.25" hidden="1" customHeight="1" x14ac:dyDescent="0.2">
      <c r="A99" s="161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3" t="s">
        <v>161</v>
      </c>
      <c r="AY99" s="234"/>
      <c r="AZ99" s="102" t="s">
        <v>159</v>
      </c>
      <c r="BA99" s="129"/>
      <c r="BB99" s="129"/>
      <c r="BC99" s="129"/>
      <c r="BD99" s="129"/>
      <c r="BE99" s="129">
        <v>53000</v>
      </c>
      <c r="BF99" s="129"/>
      <c r="BG99" s="236"/>
    </row>
    <row r="100" spans="1:63" s="89" customFormat="1" ht="14.25" hidden="1" customHeight="1" x14ac:dyDescent="0.2">
      <c r="A100" s="161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3" t="s">
        <v>162</v>
      </c>
      <c r="AY100" s="234"/>
      <c r="AZ100" s="102" t="s">
        <v>159</v>
      </c>
      <c r="BA100" s="129"/>
      <c r="BB100" s="129"/>
      <c r="BC100" s="129"/>
      <c r="BD100" s="129"/>
      <c r="BE100" s="129">
        <v>5000</v>
      </c>
      <c r="BF100" s="129"/>
      <c r="BG100" s="236"/>
      <c r="BH100" s="90" t="s">
        <v>233</v>
      </c>
      <c r="BI100" s="91" t="s">
        <v>164</v>
      </c>
      <c r="BJ100" s="91" t="s">
        <v>165</v>
      </c>
      <c r="BK100" s="91" t="s">
        <v>139</v>
      </c>
    </row>
    <row r="101" spans="1:63" s="89" customFormat="1" ht="14.25" hidden="1" customHeight="1" x14ac:dyDescent="0.2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3"/>
      <c r="AY101" s="234"/>
      <c r="AZ101" s="102" t="s">
        <v>157</v>
      </c>
      <c r="BA101" s="129"/>
      <c r="BB101" s="129"/>
      <c r="BC101" s="129"/>
      <c r="BD101" s="129"/>
      <c r="BE101" s="129">
        <f>80000+1187-13560.38-15280.04-20035.78</f>
        <v>32310.799999999996</v>
      </c>
      <c r="BF101" s="129"/>
      <c r="BG101" s="236"/>
      <c r="BH101" s="90">
        <v>221</v>
      </c>
      <c r="BI101" s="92">
        <f>BE96+BE117</f>
        <v>51376.36</v>
      </c>
      <c r="BJ101" s="92">
        <f>BB64+BB79</f>
        <v>48969.979999999996</v>
      </c>
      <c r="BK101" s="92">
        <f>BI101+BJ101</f>
        <v>100346.34</v>
      </c>
    </row>
    <row r="102" spans="1:63" s="89" customFormat="1" ht="14.25" hidden="1" customHeight="1" x14ac:dyDescent="0.2">
      <c r="A102" s="161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3"/>
      <c r="AY102" s="234"/>
      <c r="AZ102" s="102" t="s">
        <v>158</v>
      </c>
      <c r="BA102" s="129"/>
      <c r="BB102" s="129"/>
      <c r="BC102" s="129"/>
      <c r="BD102" s="129"/>
      <c r="BE102" s="129">
        <f>37110+7700</f>
        <v>44810</v>
      </c>
      <c r="BF102" s="129"/>
      <c r="BG102" s="236"/>
      <c r="BH102" s="90">
        <v>349</v>
      </c>
      <c r="BI102" s="92">
        <v>0</v>
      </c>
      <c r="BJ102" s="92">
        <f>BC89</f>
        <v>13696</v>
      </c>
      <c r="BK102" s="92">
        <f t="shared" ref="BK102:BK113" si="6">BI102+BJ102</f>
        <v>13696</v>
      </c>
    </row>
    <row r="103" spans="1:63" s="89" customFormat="1" ht="14.25" hidden="1" customHeight="1" x14ac:dyDescent="0.2">
      <c r="A103" s="161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3"/>
      <c r="AY103" s="234"/>
      <c r="AZ103" s="102" t="s">
        <v>163</v>
      </c>
      <c r="BA103" s="129"/>
      <c r="BB103" s="129"/>
      <c r="BC103" s="129"/>
      <c r="BD103" s="129"/>
      <c r="BE103" s="129">
        <f>146000+216209.92-40544.36-135000-29554.98-3000</f>
        <v>154110.58000000005</v>
      </c>
      <c r="BF103" s="129"/>
      <c r="BG103" s="236"/>
      <c r="BH103" s="90">
        <v>223</v>
      </c>
      <c r="BI103" s="92">
        <f>BE98+BE99+BE100+BE114+BE115+BE116+BE97</f>
        <v>353218.87</v>
      </c>
      <c r="BJ103" s="92">
        <f>BB65+BB66+BB67+BB80+BB81+BB82+BB68</f>
        <v>2269167.85</v>
      </c>
      <c r="BK103" s="92">
        <f t="shared" si="6"/>
        <v>2622386.7200000002</v>
      </c>
    </row>
    <row r="104" spans="1:63" s="89" customFormat="1" ht="14.25" hidden="1" customHeight="1" x14ac:dyDescent="0.2">
      <c r="A104" s="161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3"/>
      <c r="AY104" s="234"/>
      <c r="AZ104" s="102" t="s">
        <v>236</v>
      </c>
      <c r="BA104" s="129"/>
      <c r="BB104" s="129"/>
      <c r="BC104" s="129"/>
      <c r="BD104" s="129"/>
      <c r="BE104" s="129">
        <f>12335.78+12325.5+29554.98</f>
        <v>54216.259999999995</v>
      </c>
      <c r="BF104" s="129"/>
      <c r="BG104" s="236"/>
      <c r="BH104" s="90">
        <v>225</v>
      </c>
      <c r="BI104" s="92">
        <f>BE101+BE109+BE118</f>
        <v>92310.799999999988</v>
      </c>
      <c r="BJ104" s="92">
        <f>BB69+BB83+BC92</f>
        <v>2309248.54</v>
      </c>
      <c r="BK104" s="92">
        <f t="shared" si="6"/>
        <v>2401559.34</v>
      </c>
    </row>
    <row r="105" spans="1:63" s="89" customFormat="1" ht="14.25" hidden="1" customHeight="1" x14ac:dyDescent="0.2">
      <c r="A105" s="149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1"/>
      <c r="AY105" s="234"/>
      <c r="AZ105" s="102" t="s">
        <v>235</v>
      </c>
      <c r="BA105" s="129"/>
      <c r="BB105" s="129"/>
      <c r="BC105" s="129"/>
      <c r="BD105" s="129"/>
      <c r="BE105" s="129">
        <f>33813-33813</f>
        <v>0</v>
      </c>
      <c r="BF105" s="129"/>
      <c r="BG105" s="236"/>
      <c r="BH105" s="90">
        <v>226</v>
      </c>
      <c r="BI105" s="92">
        <f>BE102+BE120</f>
        <v>45110</v>
      </c>
      <c r="BJ105" s="92">
        <f>BB70+BC90</f>
        <v>686542.02</v>
      </c>
      <c r="BK105" s="92">
        <f t="shared" si="6"/>
        <v>731652.02</v>
      </c>
    </row>
    <row r="106" spans="1:63" s="89" customFormat="1" ht="14.25" hidden="1" customHeight="1" x14ac:dyDescent="0.2">
      <c r="A106" s="149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1"/>
      <c r="AY106" s="234"/>
      <c r="AZ106" s="102" t="s">
        <v>238</v>
      </c>
      <c r="BA106" s="129"/>
      <c r="BB106" s="129"/>
      <c r="BC106" s="129"/>
      <c r="BD106" s="129"/>
      <c r="BE106" s="129"/>
      <c r="BF106" s="129"/>
      <c r="BG106" s="236"/>
      <c r="BH106" s="90">
        <v>290</v>
      </c>
      <c r="BI106" s="92">
        <f>BE111</f>
        <v>0</v>
      </c>
      <c r="BJ106" s="92"/>
      <c r="BK106" s="92">
        <f t="shared" si="6"/>
        <v>0</v>
      </c>
    </row>
    <row r="107" spans="1:63" s="89" customFormat="1" ht="14.25" hidden="1" customHeight="1" x14ac:dyDescent="0.2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1"/>
      <c r="AY107" s="234"/>
      <c r="AZ107" s="102" t="s">
        <v>205</v>
      </c>
      <c r="BA107" s="129"/>
      <c r="BB107" s="129"/>
      <c r="BC107" s="129"/>
      <c r="BD107" s="129"/>
      <c r="BE107" s="129">
        <f>85000-39335.58-12325.5</f>
        <v>33338.92</v>
      </c>
      <c r="BF107" s="129"/>
      <c r="BG107" s="236"/>
      <c r="BH107" s="90">
        <v>310</v>
      </c>
      <c r="BI107" s="92">
        <f>BE103+BE112+BE121</f>
        <v>157310.58000000005</v>
      </c>
      <c r="BJ107" s="92">
        <v>0</v>
      </c>
      <c r="BK107" s="92">
        <f t="shared" si="6"/>
        <v>157310.58000000005</v>
      </c>
    </row>
    <row r="108" spans="1:63" s="89" customFormat="1" ht="14.25" hidden="1" customHeight="1" x14ac:dyDescent="0.2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1"/>
      <c r="AY108" s="235"/>
      <c r="AZ108" s="102" t="s">
        <v>234</v>
      </c>
      <c r="BA108" s="129"/>
      <c r="BB108" s="129"/>
      <c r="BC108" s="129"/>
      <c r="BD108" s="129"/>
      <c r="BE108" s="129">
        <v>0</v>
      </c>
      <c r="BF108" s="129"/>
      <c r="BG108" s="236"/>
      <c r="BH108" s="90">
        <v>343</v>
      </c>
      <c r="BI108" s="92">
        <f>BE104+BE119</f>
        <v>57077.999999999993</v>
      </c>
      <c r="BJ108" s="92">
        <f>BB72+BB85</f>
        <v>65997.22</v>
      </c>
      <c r="BK108" s="92">
        <f t="shared" si="6"/>
        <v>123075.22</v>
      </c>
    </row>
    <row r="109" spans="1:63" s="89" customFormat="1" ht="14.25" hidden="1" customHeight="1" x14ac:dyDescent="0.2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1"/>
      <c r="AY109" s="101">
        <v>2006</v>
      </c>
      <c r="AZ109" s="102" t="s">
        <v>157</v>
      </c>
      <c r="BA109" s="129"/>
      <c r="BB109" s="129"/>
      <c r="BC109" s="129"/>
      <c r="BD109" s="129"/>
      <c r="BE109" s="129">
        <f>60000</f>
        <v>60000</v>
      </c>
      <c r="BF109" s="129"/>
      <c r="BG109" s="236"/>
      <c r="BH109" s="90">
        <v>344</v>
      </c>
      <c r="BI109" s="92">
        <f>BE105+BE122</f>
        <v>0</v>
      </c>
      <c r="BJ109" s="92">
        <f>BB73</f>
        <v>749</v>
      </c>
      <c r="BK109" s="92">
        <f t="shared" si="6"/>
        <v>749</v>
      </c>
    </row>
    <row r="110" spans="1:63" s="89" customFormat="1" ht="14.25" hidden="1" customHeight="1" x14ac:dyDescent="0.2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1"/>
      <c r="AY110" s="101"/>
      <c r="AZ110" s="102"/>
      <c r="BA110" s="129"/>
      <c r="BB110" s="129"/>
      <c r="BC110" s="129"/>
      <c r="BD110" s="129"/>
      <c r="BE110" s="129"/>
      <c r="BF110" s="129"/>
      <c r="BG110" s="236"/>
      <c r="BH110" s="90">
        <v>345</v>
      </c>
      <c r="BI110" s="93">
        <f>BE106</f>
        <v>0</v>
      </c>
      <c r="BJ110" s="93">
        <f>BB74</f>
        <v>4500</v>
      </c>
      <c r="BK110" s="92">
        <f t="shared" si="6"/>
        <v>4500</v>
      </c>
    </row>
    <row r="111" spans="1:63" s="89" customFormat="1" ht="14.25" hidden="1" customHeight="1" x14ac:dyDescent="0.2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1"/>
      <c r="AY111" s="240">
        <v>2010</v>
      </c>
      <c r="AZ111" s="102" t="s">
        <v>192</v>
      </c>
      <c r="BA111" s="129"/>
      <c r="BB111" s="129"/>
      <c r="BC111" s="129"/>
      <c r="BD111" s="129"/>
      <c r="BE111" s="129">
        <v>0</v>
      </c>
      <c r="BF111" s="129"/>
      <c r="BG111" s="236"/>
      <c r="BH111" s="90">
        <v>346</v>
      </c>
      <c r="BI111" s="92">
        <f>BE107+BE113+BE123+BE95</f>
        <v>43338.92</v>
      </c>
      <c r="BJ111" s="92">
        <f>BB75+BB84</f>
        <v>50781.479999999996</v>
      </c>
      <c r="BK111" s="92">
        <f t="shared" si="6"/>
        <v>94120.4</v>
      </c>
    </row>
    <row r="112" spans="1:63" s="89" customFormat="1" ht="14.25" hidden="1" customHeight="1" x14ac:dyDescent="0.2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1"/>
      <c r="AY112" s="241"/>
      <c r="AZ112" s="102" t="s">
        <v>163</v>
      </c>
      <c r="BA112" s="129"/>
      <c r="BB112" s="129"/>
      <c r="BC112" s="129"/>
      <c r="BD112" s="129"/>
      <c r="BE112" s="129">
        <v>3200</v>
      </c>
      <c r="BF112" s="129"/>
      <c r="BG112" s="236"/>
      <c r="BH112" s="90">
        <v>353</v>
      </c>
      <c r="BI112" s="93">
        <f>BE108</f>
        <v>0</v>
      </c>
      <c r="BJ112" s="93">
        <f>BB76</f>
        <v>0</v>
      </c>
      <c r="BK112" s="92">
        <f t="shared" si="6"/>
        <v>0</v>
      </c>
    </row>
    <row r="113" spans="1:64" s="89" customFormat="1" ht="14.25" hidden="1" customHeight="1" x14ac:dyDescent="0.2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1"/>
      <c r="AY113" s="242"/>
      <c r="AZ113" s="102" t="s">
        <v>205</v>
      </c>
      <c r="BA113" s="129"/>
      <c r="BB113" s="129"/>
      <c r="BC113" s="129"/>
      <c r="BD113" s="129"/>
      <c r="BE113" s="129">
        <f>30000-30000</f>
        <v>0</v>
      </c>
      <c r="BF113" s="129"/>
      <c r="BG113" s="236"/>
      <c r="BH113" s="90">
        <v>227</v>
      </c>
      <c r="BI113" s="92">
        <f>BE94</f>
        <v>4585.09</v>
      </c>
      <c r="BJ113" s="92">
        <f>BB71</f>
        <v>0</v>
      </c>
      <c r="BK113" s="92">
        <f t="shared" si="6"/>
        <v>4585.09</v>
      </c>
      <c r="BL113" s="123">
        <f>BI131+BJ131</f>
        <v>3313919.4</v>
      </c>
    </row>
    <row r="114" spans="1:64" s="89" customFormat="1" ht="14.25" hidden="1" customHeight="1" x14ac:dyDescent="0.2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1" t="s">
        <v>160</v>
      </c>
      <c r="AY114" s="240">
        <v>2011</v>
      </c>
      <c r="AZ114" s="102" t="s">
        <v>159</v>
      </c>
      <c r="BA114" s="129"/>
      <c r="BB114" s="129"/>
      <c r="BC114" s="129"/>
      <c r="BD114" s="129"/>
      <c r="BE114" s="129">
        <f>66000+101671.83</f>
        <v>167671.83000000002</v>
      </c>
      <c r="BF114" s="129"/>
      <c r="BG114" s="236"/>
      <c r="BH114" s="90" t="s">
        <v>139</v>
      </c>
      <c r="BI114" s="93">
        <f>SUM(BI101:BI113)</f>
        <v>804328.62000000011</v>
      </c>
      <c r="BJ114" s="93">
        <f>SUM(BJ101:BJ113)</f>
        <v>5449652.0900000008</v>
      </c>
      <c r="BK114" s="93">
        <f>SUM(BK101:BK113)</f>
        <v>6253980.71</v>
      </c>
      <c r="BL114" s="123">
        <f>BI132+BJ132</f>
        <v>1158613.75</v>
      </c>
    </row>
    <row r="115" spans="1:64" s="89" customFormat="1" ht="14.25" hidden="1" customHeight="1" x14ac:dyDescent="0.2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1" t="s">
        <v>161</v>
      </c>
      <c r="AY115" s="241"/>
      <c r="AZ115" s="102" t="s">
        <v>159</v>
      </c>
      <c r="BA115" s="129"/>
      <c r="BB115" s="129"/>
      <c r="BC115" s="129"/>
      <c r="BD115" s="129"/>
      <c r="BE115" s="129">
        <f>30000+5750</f>
        <v>35750</v>
      </c>
      <c r="BF115" s="129"/>
      <c r="BG115" s="236"/>
      <c r="BI115" s="164">
        <f>BE63-BI114</f>
        <v>0</v>
      </c>
      <c r="BJ115" s="164">
        <f>BB63+BC63-BJ114</f>
        <v>0</v>
      </c>
      <c r="BK115" s="164">
        <f>BA63-BK114</f>
        <v>0</v>
      </c>
      <c r="BL115" s="123">
        <f>BI133+BJ133</f>
        <v>112617.73</v>
      </c>
    </row>
    <row r="116" spans="1:64" s="89" customFormat="1" ht="14.25" hidden="1" customHeight="1" x14ac:dyDescent="0.2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1" t="s">
        <v>162</v>
      </c>
      <c r="AY116" s="242"/>
      <c r="AZ116" s="102" t="s">
        <v>159</v>
      </c>
      <c r="BA116" s="129"/>
      <c r="BB116" s="129"/>
      <c r="BC116" s="129"/>
      <c r="BD116" s="129"/>
      <c r="BE116" s="129">
        <f>4000+517</f>
        <v>4517</v>
      </c>
      <c r="BF116" s="129"/>
      <c r="BG116" s="236"/>
      <c r="BL116" s="123">
        <f>BI134+BJ134</f>
        <v>4585150.88</v>
      </c>
    </row>
    <row r="117" spans="1:64" s="89" customFormat="1" ht="14.25" hidden="1" customHeight="1" x14ac:dyDescent="0.2">
      <c r="A117" s="227"/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9"/>
      <c r="AY117" s="233">
        <v>2019</v>
      </c>
      <c r="AZ117" s="102" t="s">
        <v>153</v>
      </c>
      <c r="BA117" s="129"/>
      <c r="BB117" s="129"/>
      <c r="BC117" s="129"/>
      <c r="BD117" s="129"/>
      <c r="BE117" s="129">
        <f>24000+1314.36-24000</f>
        <v>1314.3600000000006</v>
      </c>
      <c r="BF117" s="129"/>
      <c r="BG117" s="236"/>
    </row>
    <row r="118" spans="1:64" s="89" customFormat="1" ht="14.25" hidden="1" customHeight="1" x14ac:dyDescent="0.2">
      <c r="A118" s="227"/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9"/>
      <c r="AY118" s="234"/>
      <c r="AZ118" s="102" t="s">
        <v>157</v>
      </c>
      <c r="BA118" s="129"/>
      <c r="BB118" s="129"/>
      <c r="BC118" s="129"/>
      <c r="BD118" s="129"/>
      <c r="BE118" s="129">
        <f>18000-18000</f>
        <v>0</v>
      </c>
      <c r="BF118" s="129"/>
      <c r="BG118" s="236"/>
    </row>
    <row r="119" spans="1:64" s="89" customFormat="1" ht="14.25" hidden="1" customHeight="1" x14ac:dyDescent="0.2">
      <c r="A119" s="161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3"/>
      <c r="AY119" s="234"/>
      <c r="AZ119" s="102" t="s">
        <v>236</v>
      </c>
      <c r="BA119" s="129"/>
      <c r="BB119" s="129"/>
      <c r="BC119" s="129"/>
      <c r="BD119" s="129"/>
      <c r="BE119" s="129">
        <v>2861.74</v>
      </c>
      <c r="BF119" s="129"/>
      <c r="BG119" s="236"/>
    </row>
    <row r="120" spans="1:64" s="89" customFormat="1" ht="14.25" hidden="1" customHeight="1" x14ac:dyDescent="0.2">
      <c r="A120" s="227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9"/>
      <c r="AY120" s="234"/>
      <c r="AZ120" s="102" t="s">
        <v>158</v>
      </c>
      <c r="BA120" s="129"/>
      <c r="BB120" s="129"/>
      <c r="BC120" s="129"/>
      <c r="BD120" s="129"/>
      <c r="BE120" s="129">
        <f>60000+300-60000</f>
        <v>300</v>
      </c>
      <c r="BF120" s="129"/>
      <c r="BG120" s="236"/>
    </row>
    <row r="121" spans="1:64" s="89" customFormat="1" ht="14.25" hidden="1" customHeight="1" x14ac:dyDescent="0.2">
      <c r="A121" s="149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1"/>
      <c r="AY121" s="234"/>
      <c r="AZ121" s="102" t="s">
        <v>163</v>
      </c>
      <c r="BA121" s="129"/>
      <c r="BB121" s="129"/>
      <c r="BC121" s="129"/>
      <c r="BD121" s="129"/>
      <c r="BE121" s="129">
        <v>0</v>
      </c>
      <c r="BF121" s="129"/>
      <c r="BG121" s="236"/>
      <c r="BH121" s="96" t="s">
        <v>180</v>
      </c>
      <c r="BI121" s="96"/>
      <c r="BJ121" s="96"/>
    </row>
    <row r="122" spans="1:64" s="89" customFormat="1" ht="14.25" hidden="1" customHeight="1" x14ac:dyDescent="0.2">
      <c r="A122" s="227"/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9"/>
      <c r="AY122" s="234"/>
      <c r="AZ122" s="102" t="s">
        <v>235</v>
      </c>
      <c r="BA122" s="129"/>
      <c r="BB122" s="129"/>
      <c r="BC122" s="129"/>
      <c r="BD122" s="129"/>
      <c r="BE122" s="129"/>
      <c r="BF122" s="129"/>
      <c r="BG122" s="236"/>
      <c r="BH122" s="97">
        <v>2001</v>
      </c>
      <c r="BI122" s="98">
        <v>69041.119999999995</v>
      </c>
      <c r="BJ122" s="230">
        <f>BI122+BI123+BI124+BI125+BI126+BI127+BI128</f>
        <v>1208938.56</v>
      </c>
    </row>
    <row r="123" spans="1:64" s="89" customFormat="1" ht="12.75" hidden="1" customHeight="1" x14ac:dyDescent="0.2">
      <c r="A123" s="227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9"/>
      <c r="AY123" s="235"/>
      <c r="AZ123" s="102" t="s">
        <v>205</v>
      </c>
      <c r="BA123" s="129"/>
      <c r="BB123" s="129"/>
      <c r="BC123" s="129"/>
      <c r="BD123" s="129"/>
      <c r="BE123" s="129">
        <f>60861.74-60861.74</f>
        <v>0</v>
      </c>
      <c r="BF123" s="129"/>
      <c r="BG123" s="236"/>
      <c r="BH123" s="97">
        <v>2010</v>
      </c>
      <c r="BI123" s="98">
        <v>3200</v>
      </c>
      <c r="BJ123" s="231"/>
    </row>
    <row r="124" spans="1:64" ht="12.75" customHeight="1" x14ac:dyDescent="0.2">
      <c r="A124" s="6"/>
      <c r="B124" s="7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  <c r="AN124" s="218"/>
      <c r="AO124" s="218"/>
      <c r="AP124" s="218"/>
      <c r="AQ124" s="218"/>
      <c r="AR124" s="218"/>
      <c r="AS124" s="218"/>
      <c r="AT124" s="218"/>
      <c r="AU124" s="218"/>
      <c r="AV124" s="218"/>
      <c r="AW124" s="218"/>
      <c r="AX124" s="219"/>
      <c r="AY124" s="8"/>
      <c r="AZ124" s="72"/>
      <c r="BA124" s="127"/>
      <c r="BB124" s="128"/>
      <c r="BC124" s="128"/>
      <c r="BD124" s="128"/>
      <c r="BE124" s="128"/>
      <c r="BF124" s="128"/>
      <c r="BH124" s="97">
        <v>2011</v>
      </c>
      <c r="BI124" s="98">
        <v>107938.83</v>
      </c>
      <c r="BJ124" s="231"/>
    </row>
    <row r="125" spans="1:64" ht="12.75" customHeight="1" x14ac:dyDescent="0.2">
      <c r="A125" s="136"/>
      <c r="B125" s="155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8"/>
      <c r="AO125" s="218"/>
      <c r="AP125" s="218"/>
      <c r="AQ125" s="218"/>
      <c r="AR125" s="218"/>
      <c r="AS125" s="218"/>
      <c r="AT125" s="218"/>
      <c r="AU125" s="218"/>
      <c r="AV125" s="218"/>
      <c r="AW125" s="218"/>
      <c r="AX125" s="219"/>
      <c r="AY125" s="8"/>
      <c r="AZ125" s="72"/>
      <c r="BA125" s="127"/>
      <c r="BB125" s="128"/>
      <c r="BC125" s="128"/>
      <c r="BD125" s="128"/>
      <c r="BE125" s="128"/>
      <c r="BF125" s="128"/>
      <c r="BH125" s="97">
        <v>2019</v>
      </c>
      <c r="BI125" s="98">
        <v>4476.1000000000004</v>
      </c>
      <c r="BJ125" s="231"/>
    </row>
    <row r="126" spans="1:64" ht="12.75" customHeight="1" x14ac:dyDescent="0.2">
      <c r="A126" s="5"/>
      <c r="B126" s="218" t="s">
        <v>41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9"/>
      <c r="AY126" s="8">
        <v>300</v>
      </c>
      <c r="AZ126" s="72" t="s">
        <v>28</v>
      </c>
      <c r="BA126" s="127">
        <f t="shared" ref="BA126:BA131" si="7">BB126+BC126+BD126+BF126</f>
        <v>0</v>
      </c>
      <c r="BB126" s="128"/>
      <c r="BC126" s="128"/>
      <c r="BD126" s="128"/>
      <c r="BE126" s="128"/>
      <c r="BF126" s="128"/>
      <c r="BH126" s="97">
        <f>2026</f>
        <v>2026</v>
      </c>
      <c r="BI126" s="98"/>
      <c r="BJ126" s="232"/>
    </row>
    <row r="127" spans="1:64" ht="12.75" customHeight="1" x14ac:dyDescent="0.2">
      <c r="A127" s="6"/>
      <c r="B127" s="7"/>
      <c r="C127" s="218" t="s">
        <v>42</v>
      </c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8"/>
      <c r="AS127" s="218"/>
      <c r="AT127" s="218"/>
      <c r="AU127" s="218"/>
      <c r="AV127" s="218"/>
      <c r="AW127" s="218"/>
      <c r="AX127" s="219"/>
      <c r="AY127" s="8">
        <v>310</v>
      </c>
      <c r="AZ127" s="72"/>
      <c r="BA127" s="127">
        <f t="shared" si="7"/>
        <v>0</v>
      </c>
      <c r="BB127" s="128"/>
      <c r="BC127" s="128"/>
      <c r="BD127" s="128"/>
      <c r="BE127" s="128"/>
      <c r="BF127" s="128"/>
      <c r="BH127" s="97">
        <v>2021</v>
      </c>
      <c r="BI127" s="98"/>
      <c r="BJ127" s="104"/>
    </row>
    <row r="128" spans="1:64" ht="12.75" customHeight="1" x14ac:dyDescent="0.2">
      <c r="A128" s="136"/>
      <c r="B128" s="155"/>
      <c r="C128" s="218" t="s">
        <v>43</v>
      </c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18"/>
      <c r="AQ128" s="218"/>
      <c r="AR128" s="218"/>
      <c r="AS128" s="218"/>
      <c r="AT128" s="218"/>
      <c r="AU128" s="218"/>
      <c r="AV128" s="218"/>
      <c r="AW128" s="218"/>
      <c r="AX128" s="219"/>
      <c r="AY128" s="8">
        <v>320</v>
      </c>
      <c r="AZ128" s="72"/>
      <c r="BA128" s="127">
        <f t="shared" si="7"/>
        <v>0</v>
      </c>
      <c r="BB128" s="128"/>
      <c r="BC128" s="128"/>
      <c r="BD128" s="128"/>
      <c r="BE128" s="128"/>
      <c r="BF128" s="128"/>
      <c r="BH128" s="97">
        <v>4000</v>
      </c>
      <c r="BI128" s="98">
        <v>1024282.51</v>
      </c>
      <c r="BJ128" s="104"/>
    </row>
    <row r="129" spans="1:63" ht="12.75" customHeight="1" x14ac:dyDescent="0.2">
      <c r="A129" s="136"/>
      <c r="B129" s="155"/>
      <c r="C129" s="218" t="s">
        <v>44</v>
      </c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9"/>
      <c r="AY129" s="8">
        <v>400</v>
      </c>
      <c r="AZ129" s="72"/>
      <c r="BA129" s="127">
        <f t="shared" si="7"/>
        <v>0</v>
      </c>
      <c r="BB129" s="128"/>
      <c r="BC129" s="128"/>
      <c r="BD129" s="128"/>
      <c r="BE129" s="128"/>
      <c r="BF129" s="128"/>
      <c r="BH129" s="121"/>
      <c r="BI129" s="121"/>
      <c r="BJ129" s="121"/>
    </row>
    <row r="130" spans="1:63" ht="12.75" customHeight="1" x14ac:dyDescent="0.2">
      <c r="A130" s="136"/>
      <c r="B130" s="155"/>
      <c r="C130" s="218" t="s">
        <v>45</v>
      </c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9"/>
      <c r="AY130" s="8">
        <v>410</v>
      </c>
      <c r="AZ130" s="72"/>
      <c r="BA130" s="127">
        <f t="shared" si="7"/>
        <v>0</v>
      </c>
      <c r="BB130" s="128"/>
      <c r="BC130" s="128"/>
      <c r="BD130" s="128"/>
      <c r="BE130" s="128"/>
      <c r="BF130" s="128"/>
      <c r="BH130" s="90" t="s">
        <v>166</v>
      </c>
      <c r="BI130" s="90" t="s">
        <v>164</v>
      </c>
      <c r="BJ130" s="90" t="s">
        <v>191</v>
      </c>
      <c r="BK130" s="94"/>
    </row>
    <row r="131" spans="1:63" ht="12.75" customHeight="1" x14ac:dyDescent="0.2">
      <c r="A131" s="136"/>
      <c r="B131" s="155"/>
      <c r="C131" s="218" t="s">
        <v>46</v>
      </c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9"/>
      <c r="AY131" s="8">
        <v>420</v>
      </c>
      <c r="AZ131" s="72"/>
      <c r="BA131" s="127">
        <f t="shared" si="7"/>
        <v>0</v>
      </c>
      <c r="BB131" s="128"/>
      <c r="BC131" s="128"/>
      <c r="BD131" s="128"/>
      <c r="BE131" s="128"/>
      <c r="BF131" s="128"/>
      <c r="BH131" s="90" t="s">
        <v>160</v>
      </c>
      <c r="BI131" s="95">
        <f>BE102+BE114</f>
        <v>212481.83000000002</v>
      </c>
      <c r="BJ131" s="95">
        <f>BB65+BB80+BC92</f>
        <v>3101437.57</v>
      </c>
      <c r="BK131" s="95"/>
    </row>
    <row r="132" spans="1:63" ht="14.25" customHeight="1" x14ac:dyDescent="0.2">
      <c r="A132" s="136"/>
      <c r="B132" s="220" t="s">
        <v>22</v>
      </c>
      <c r="C132" s="216" t="s">
        <v>11</v>
      </c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7"/>
      <c r="AY132" s="12" t="s">
        <v>23</v>
      </c>
      <c r="AZ132" s="72" t="s">
        <v>28</v>
      </c>
      <c r="BA132" s="127">
        <f>BB132+BC132+BD132+BE132</f>
        <v>1208938.56</v>
      </c>
      <c r="BB132" s="131">
        <v>1024282.51</v>
      </c>
      <c r="BC132" s="131">
        <v>0</v>
      </c>
      <c r="BD132" s="131">
        <v>0</v>
      </c>
      <c r="BE132" s="131">
        <v>184656.05</v>
      </c>
      <c r="BF132" s="131">
        <v>0</v>
      </c>
      <c r="BH132" s="90" t="s">
        <v>161</v>
      </c>
      <c r="BI132" s="95">
        <f>BE103+BE115</f>
        <v>189860.58000000005</v>
      </c>
      <c r="BJ132" s="95">
        <f>BB66+BB81</f>
        <v>968753.17</v>
      </c>
      <c r="BK132" s="95"/>
    </row>
    <row r="133" spans="1:63" ht="15" customHeight="1" x14ac:dyDescent="0.2">
      <c r="A133" s="136"/>
      <c r="B133" s="221" t="s">
        <v>24</v>
      </c>
      <c r="C133" s="222" t="s">
        <v>11</v>
      </c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153" t="s">
        <v>25</v>
      </c>
      <c r="AZ133" s="72" t="s">
        <v>28</v>
      </c>
      <c r="BA133" s="127">
        <f>BB133+BC133+BD133+BF133</f>
        <v>0</v>
      </c>
      <c r="BB133" s="128"/>
      <c r="BC133" s="128"/>
      <c r="BD133" s="128"/>
      <c r="BE133" s="128"/>
      <c r="BF133" s="128"/>
      <c r="BH133" s="90" t="s">
        <v>162</v>
      </c>
      <c r="BI133" s="95">
        <f>BE104+BE116</f>
        <v>58733.259999999995</v>
      </c>
      <c r="BJ133" s="95">
        <f>BB67+BB82+BC93</f>
        <v>53884.47</v>
      </c>
      <c r="BK133" s="95"/>
    </row>
    <row r="134" spans="1:63" ht="14.25" customHeight="1" x14ac:dyDescent="0.2">
      <c r="A134" s="108"/>
      <c r="B134" s="115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2"/>
      <c r="AZ134" s="113"/>
      <c r="BA134" s="114"/>
      <c r="BB134" s="110"/>
      <c r="BC134" s="110"/>
      <c r="BD134" s="110"/>
      <c r="BE134" s="110"/>
      <c r="BF134" s="110"/>
      <c r="BH134" s="90"/>
      <c r="BI134" s="95">
        <f>SUM(BI131:BI133)</f>
        <v>461075.67000000004</v>
      </c>
      <c r="BJ134" s="95">
        <f>SUM(BJ131:BJ133)</f>
        <v>4124075.21</v>
      </c>
      <c r="BK134" s="95"/>
    </row>
    <row r="135" spans="1:63" ht="12.75" x14ac:dyDescent="0.2">
      <c r="A135" s="108"/>
      <c r="B135" s="109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2"/>
      <c r="AZ135" s="113"/>
      <c r="BA135" s="114"/>
      <c r="BB135" s="110"/>
      <c r="BC135" s="110"/>
      <c r="BD135" s="110"/>
      <c r="BE135" s="110"/>
      <c r="BF135" s="110"/>
      <c r="BH135" s="90"/>
      <c r="BI135" s="225">
        <f>BI134+BJ134</f>
        <v>4585150.88</v>
      </c>
      <c r="BJ135" s="226"/>
      <c r="BK135" s="123"/>
    </row>
    <row r="136" spans="1:63" ht="25.5" customHeight="1" x14ac:dyDescent="0.2">
      <c r="A136" s="223" t="s">
        <v>51</v>
      </c>
      <c r="B136" s="223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4"/>
      <c r="BA136" s="105">
        <f t="shared" ref="BA136:BF136" si="8">BA23-BA9-BA132</f>
        <v>2.3283064365386963E-9</v>
      </c>
      <c r="BB136" s="105">
        <f t="shared" si="8"/>
        <v>1.6298145055770874E-9</v>
      </c>
      <c r="BC136" s="105">
        <f t="shared" si="8"/>
        <v>0</v>
      </c>
      <c r="BD136" s="105">
        <f t="shared" si="8"/>
        <v>0</v>
      </c>
      <c r="BE136" s="105">
        <f t="shared" si="8"/>
        <v>0</v>
      </c>
      <c r="BF136" s="105">
        <f t="shared" si="8"/>
        <v>0</v>
      </c>
      <c r="BG136" s="9"/>
    </row>
    <row r="137" spans="1:63" ht="10.15" customHeight="1" x14ac:dyDescent="0.2">
      <c r="BG137" s="9"/>
    </row>
    <row r="138" spans="1:63" ht="10.15" customHeight="1" x14ac:dyDescent="0.2">
      <c r="BG138" s="9"/>
    </row>
    <row r="139" spans="1:63" ht="10.15" customHeight="1" x14ac:dyDescent="0.2">
      <c r="BB139" s="107"/>
      <c r="BG139" s="9"/>
    </row>
    <row r="140" spans="1:63" ht="10.15" customHeight="1" x14ac:dyDescent="0.2">
      <c r="BG140" s="9"/>
    </row>
    <row r="141" spans="1:63" ht="10.15" customHeight="1" x14ac:dyDescent="0.2">
      <c r="BG141" s="9"/>
    </row>
    <row r="144" spans="1:63" ht="10.15" customHeight="1" x14ac:dyDescent="0.2">
      <c r="BG144" s="9"/>
    </row>
    <row r="145" spans="59:59" ht="10.15" customHeight="1" x14ac:dyDescent="0.2">
      <c r="BG145" s="9"/>
    </row>
    <row r="147" spans="59:59" ht="10.15" customHeight="1" x14ac:dyDescent="0.2">
      <c r="BG147" s="9"/>
    </row>
  </sheetData>
  <mergeCells count="120">
    <mergeCell ref="C53:AX53"/>
    <mergeCell ref="A55:AX55"/>
    <mergeCell ref="A56:AX56"/>
    <mergeCell ref="A92:AX92"/>
    <mergeCell ref="B36:AX36"/>
    <mergeCell ref="A78:AX78"/>
    <mergeCell ref="A72:AX72"/>
    <mergeCell ref="A75:AX75"/>
    <mergeCell ref="A76:AX76"/>
    <mergeCell ref="A77:AX77"/>
    <mergeCell ref="A74:AX74"/>
    <mergeCell ref="B41:AX41"/>
    <mergeCell ref="B40:AX40"/>
    <mergeCell ref="A54:AX54"/>
    <mergeCell ref="A66:AX66"/>
    <mergeCell ref="C57:AX57"/>
    <mergeCell ref="A70:AX70"/>
    <mergeCell ref="A65:AX65"/>
    <mergeCell ref="A91:AX91"/>
    <mergeCell ref="C61:AX61"/>
    <mergeCell ref="C62:AX62"/>
    <mergeCell ref="B63:AX63"/>
    <mergeCell ref="B38:AX38"/>
    <mergeCell ref="A64:AX64"/>
    <mergeCell ref="B9:AX9"/>
    <mergeCell ref="B10:AX10"/>
    <mergeCell ref="B11:AX11"/>
    <mergeCell ref="B18:AX18"/>
    <mergeCell ref="C27:AX27"/>
    <mergeCell ref="B24:AX24"/>
    <mergeCell ref="B23:AX23"/>
    <mergeCell ref="B16:AX16"/>
    <mergeCell ref="B17:AX17"/>
    <mergeCell ref="A20:AX20"/>
    <mergeCell ref="B22:AX22"/>
    <mergeCell ref="A13:AX13"/>
    <mergeCell ref="A14:AX14"/>
    <mergeCell ref="B34:AX34"/>
    <mergeCell ref="A21:AX21"/>
    <mergeCell ref="B25:AX25"/>
    <mergeCell ref="C31:AX31"/>
    <mergeCell ref="B19:AX19"/>
    <mergeCell ref="B33:AX33"/>
    <mergeCell ref="A51:AX51"/>
    <mergeCell ref="A12:AX12"/>
    <mergeCell ref="C28:AX28"/>
    <mergeCell ref="B37:AX37"/>
    <mergeCell ref="A48:AX48"/>
    <mergeCell ref="A49:AX49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A71:AX71"/>
    <mergeCell ref="A89:AX89"/>
    <mergeCell ref="A90:AX90"/>
    <mergeCell ref="AY114:AY116"/>
    <mergeCell ref="AY111:AY113"/>
    <mergeCell ref="AY94:AY108"/>
    <mergeCell ref="A73:AX73"/>
    <mergeCell ref="BG12:BG14"/>
    <mergeCell ref="C44:AX44"/>
    <mergeCell ref="A15:AX15"/>
    <mergeCell ref="C26:AX26"/>
    <mergeCell ref="C43:AX43"/>
    <mergeCell ref="C29:AX29"/>
    <mergeCell ref="C35:AX35"/>
    <mergeCell ref="C45:AX45"/>
    <mergeCell ref="A52:AX52"/>
    <mergeCell ref="C30:AX30"/>
    <mergeCell ref="B32:AX32"/>
    <mergeCell ref="C39:AX39"/>
    <mergeCell ref="B42:AX42"/>
    <mergeCell ref="C46:AX46"/>
    <mergeCell ref="A47:AX47"/>
    <mergeCell ref="B50:AX50"/>
    <mergeCell ref="A69:AX69"/>
    <mergeCell ref="A79:AX79"/>
    <mergeCell ref="AY79:AY88"/>
    <mergeCell ref="A80:AX80"/>
    <mergeCell ref="A81:AX81"/>
    <mergeCell ref="A82:AX82"/>
    <mergeCell ref="C87:AX87"/>
    <mergeCell ref="A94:AX94"/>
    <mergeCell ref="A118:AX118"/>
    <mergeCell ref="A117:AX117"/>
    <mergeCell ref="A93:AX93"/>
    <mergeCell ref="A95:AX95"/>
    <mergeCell ref="BG57:BK57"/>
    <mergeCell ref="A58:AX58"/>
    <mergeCell ref="A59:AX59"/>
    <mergeCell ref="C60:AX60"/>
    <mergeCell ref="C131:AX131"/>
    <mergeCell ref="B132:AX132"/>
    <mergeCell ref="B133:AX133"/>
    <mergeCell ref="A136:AX136"/>
    <mergeCell ref="BI135:BJ135"/>
    <mergeCell ref="A120:AX120"/>
    <mergeCell ref="A122:AX122"/>
    <mergeCell ref="BJ122:BJ126"/>
    <mergeCell ref="A123:AX123"/>
    <mergeCell ref="B126:AX126"/>
    <mergeCell ref="C128:AX128"/>
    <mergeCell ref="C129:AX129"/>
    <mergeCell ref="C130:AX130"/>
    <mergeCell ref="C127:AX127"/>
    <mergeCell ref="C124:AX124"/>
    <mergeCell ref="C125:AX125"/>
    <mergeCell ref="AY117:AY123"/>
    <mergeCell ref="AY64:AY78"/>
    <mergeCell ref="BG64:BG123"/>
    <mergeCell ref="A67:AX67"/>
  </mergeCells>
  <pageMargins left="0.11811023622047245" right="0.11811023622047245" top="0" bottom="0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21" activePane="bottomLeft" state="frozen"/>
      <selection pane="bottomLeft" activeCell="BA41" sqref="BA41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49" t="s">
        <v>179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</row>
    <row r="3" spans="1:59" ht="12.75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"/>
      <c r="BD3" s="1"/>
      <c r="BE3" s="1"/>
      <c r="BF3" s="1"/>
    </row>
    <row r="4" spans="1:59" ht="12.75" customHeight="1" x14ac:dyDescent="0.2">
      <c r="A4" s="256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8"/>
      <c r="AY4" s="265" t="s">
        <v>1</v>
      </c>
      <c r="AZ4" s="265" t="s">
        <v>2</v>
      </c>
      <c r="BA4" s="250" t="s">
        <v>3</v>
      </c>
      <c r="BB4" s="251"/>
      <c r="BC4" s="251"/>
      <c r="BD4" s="251"/>
      <c r="BE4" s="251"/>
      <c r="BF4" s="251"/>
    </row>
    <row r="5" spans="1:59" ht="12.75" customHeight="1" x14ac:dyDescent="0.2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1"/>
      <c r="AY5" s="266"/>
      <c r="AZ5" s="266"/>
      <c r="BA5" s="266" t="s">
        <v>26</v>
      </c>
      <c r="BB5" s="267" t="s">
        <v>4</v>
      </c>
      <c r="BC5" s="267"/>
      <c r="BD5" s="267"/>
      <c r="BE5" s="267"/>
      <c r="BF5" s="267"/>
    </row>
    <row r="6" spans="1:59" ht="61.5" customHeight="1" x14ac:dyDescent="0.2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1"/>
      <c r="AY6" s="266"/>
      <c r="AZ6" s="266"/>
      <c r="BA6" s="266"/>
      <c r="BB6" s="253" t="s">
        <v>5</v>
      </c>
      <c r="BC6" s="253" t="s">
        <v>6</v>
      </c>
      <c r="BD6" s="253" t="s">
        <v>7</v>
      </c>
      <c r="BE6" s="253" t="s">
        <v>8</v>
      </c>
      <c r="BF6" s="253"/>
    </row>
    <row r="7" spans="1:59" ht="31.5" customHeight="1" x14ac:dyDescent="0.2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4"/>
      <c r="AY7" s="267"/>
      <c r="AZ7" s="267"/>
      <c r="BA7" s="267"/>
      <c r="BB7" s="253"/>
      <c r="BC7" s="253"/>
      <c r="BD7" s="253"/>
      <c r="BE7" s="147" t="s">
        <v>9</v>
      </c>
      <c r="BF7" s="140" t="s">
        <v>10</v>
      </c>
    </row>
    <row r="8" spans="1:59" ht="11.1" customHeight="1" x14ac:dyDescent="0.2">
      <c r="A8" s="250">
        <v>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2"/>
      <c r="AY8" s="2">
        <v>2</v>
      </c>
      <c r="AZ8" s="141">
        <v>3</v>
      </c>
      <c r="BA8" s="141">
        <v>4</v>
      </c>
      <c r="BB8" s="141">
        <v>5</v>
      </c>
      <c r="BC8" s="141">
        <v>6</v>
      </c>
      <c r="BD8" s="141">
        <v>7</v>
      </c>
      <c r="BE8" s="147">
        <v>8</v>
      </c>
      <c r="BF8" s="140">
        <v>9</v>
      </c>
    </row>
    <row r="9" spans="1:59" s="9" customFormat="1" ht="23.25" customHeight="1" x14ac:dyDescent="0.2">
      <c r="A9" s="3"/>
      <c r="B9" s="274" t="s">
        <v>27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5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8" t="s">
        <v>47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8" t="s">
        <v>211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8" t="s">
        <v>212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8" t="s">
        <v>213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9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8" t="s">
        <v>30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9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8" t="s">
        <v>221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8" t="s">
        <v>215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8" t="s">
        <v>31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74" t="s">
        <v>34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5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6" t="s">
        <v>35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7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6" t="s">
        <v>36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7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8" t="s">
        <v>216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9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42"/>
      <c r="C23" s="218" t="s">
        <v>217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42"/>
      <c r="C24" s="218" t="s">
        <v>222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9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42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6" t="s">
        <v>37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7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8" t="s">
        <v>12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9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42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42"/>
      <c r="C29" s="216" t="s">
        <v>38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42"/>
      <c r="C30" s="218" t="s">
        <v>12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9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8" t="s">
        <v>219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8" t="s">
        <v>224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42"/>
      <c r="C33" s="218" t="s">
        <v>225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42"/>
      <c r="C34" s="216" t="s">
        <v>39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7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42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9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42"/>
      <c r="C36" s="216" t="s">
        <v>40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7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6" t="s">
        <v>226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7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9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42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8" t="s">
        <v>41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9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8" t="s">
        <v>42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9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42"/>
      <c r="C42" s="218" t="s">
        <v>43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42"/>
      <c r="C43" s="218" t="s">
        <v>44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42"/>
      <c r="C44" s="218" t="s">
        <v>45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42"/>
      <c r="C45" s="218" t="s">
        <v>46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20" t="s">
        <v>22</v>
      </c>
      <c r="C46" s="216" t="s">
        <v>11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7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6" t="s">
        <v>24</v>
      </c>
      <c r="C47" s="218" t="s">
        <v>11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23" t="s">
        <v>51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="30" customFormat="1" ht="10.15" customHeight="1" x14ac:dyDescent="0.2"/>
    <row r="50" s="30" customFormat="1" ht="10.15" customHeight="1" x14ac:dyDescent="0.2"/>
  </sheetData>
  <mergeCells count="52">
    <mergeCell ref="C45:AX45"/>
    <mergeCell ref="B47:AX47"/>
    <mergeCell ref="A48:AX48"/>
    <mergeCell ref="C38:AX38"/>
    <mergeCell ref="C41:AX41"/>
    <mergeCell ref="C42:AX42"/>
    <mergeCell ref="C43:AX43"/>
    <mergeCell ref="C44:AX44"/>
    <mergeCell ref="B46:AX46"/>
    <mergeCell ref="C36:AX36"/>
    <mergeCell ref="B37:AX37"/>
    <mergeCell ref="C39:AX39"/>
    <mergeCell ref="B40:AX40"/>
    <mergeCell ref="C35:AX35"/>
    <mergeCell ref="C24:AX24"/>
    <mergeCell ref="C27:AX27"/>
    <mergeCell ref="C28:AX28"/>
    <mergeCell ref="C29:AX29"/>
    <mergeCell ref="C32:AX32"/>
    <mergeCell ref="C33:AX33"/>
    <mergeCell ref="C34:AX34"/>
    <mergeCell ref="C25:AX25"/>
    <mergeCell ref="B26:AX26"/>
    <mergeCell ref="C30:AX30"/>
    <mergeCell ref="B31:AX31"/>
    <mergeCell ref="C23:AX23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C22:AX22"/>
    <mergeCell ref="B21:AX21"/>
    <mergeCell ref="B11:AX11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</mergeCells>
  <pageMargins left="0.11811023622047245" right="0.11811023622047245" top="0" bottom="0" header="0.31496062992125984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40" activePane="bottomLeft" state="frozen"/>
      <selection pane="bottomLeft" activeCell="AY54" sqref="AY54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49" t="s">
        <v>196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</row>
    <row r="3" spans="1:59" ht="12.75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"/>
      <c r="BD3" s="1"/>
      <c r="BE3" s="1"/>
      <c r="BF3" s="1"/>
    </row>
    <row r="4" spans="1:59" ht="12.75" customHeight="1" x14ac:dyDescent="0.2">
      <c r="A4" s="256" t="s">
        <v>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8"/>
      <c r="AY4" s="265" t="s">
        <v>1</v>
      </c>
      <c r="AZ4" s="265" t="s">
        <v>2</v>
      </c>
      <c r="BA4" s="250" t="s">
        <v>3</v>
      </c>
      <c r="BB4" s="251"/>
      <c r="BC4" s="251"/>
      <c r="BD4" s="251"/>
      <c r="BE4" s="251"/>
      <c r="BF4" s="251"/>
    </row>
    <row r="5" spans="1:59" ht="12.75" customHeight="1" x14ac:dyDescent="0.2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1"/>
      <c r="AY5" s="266"/>
      <c r="AZ5" s="266"/>
      <c r="BA5" s="266" t="s">
        <v>26</v>
      </c>
      <c r="BB5" s="267" t="s">
        <v>4</v>
      </c>
      <c r="BC5" s="267"/>
      <c r="BD5" s="267"/>
      <c r="BE5" s="267"/>
      <c r="BF5" s="267"/>
    </row>
    <row r="6" spans="1:59" ht="61.5" customHeight="1" x14ac:dyDescent="0.2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1"/>
      <c r="AY6" s="266"/>
      <c r="AZ6" s="266"/>
      <c r="BA6" s="266"/>
      <c r="BB6" s="253" t="s">
        <v>5</v>
      </c>
      <c r="BC6" s="253" t="s">
        <v>6</v>
      </c>
      <c r="BD6" s="253" t="s">
        <v>7</v>
      </c>
      <c r="BE6" s="253" t="s">
        <v>8</v>
      </c>
      <c r="BF6" s="253"/>
    </row>
    <row r="7" spans="1:59" ht="31.5" customHeight="1" x14ac:dyDescent="0.2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4"/>
      <c r="AY7" s="267"/>
      <c r="AZ7" s="267"/>
      <c r="BA7" s="267"/>
      <c r="BB7" s="253"/>
      <c r="BC7" s="253"/>
      <c r="BD7" s="253"/>
      <c r="BE7" s="157" t="s">
        <v>9</v>
      </c>
      <c r="BF7" s="157" t="s">
        <v>10</v>
      </c>
    </row>
    <row r="8" spans="1:59" ht="11.1" customHeight="1" x14ac:dyDescent="0.2">
      <c r="A8" s="250">
        <v>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2"/>
      <c r="AY8" s="2">
        <v>2</v>
      </c>
      <c r="AZ8" s="158">
        <v>3</v>
      </c>
      <c r="BA8" s="158">
        <v>4</v>
      </c>
      <c r="BB8" s="158">
        <v>5</v>
      </c>
      <c r="BC8" s="158">
        <v>6</v>
      </c>
      <c r="BD8" s="158">
        <v>7</v>
      </c>
      <c r="BE8" s="157">
        <v>8</v>
      </c>
      <c r="BF8" s="157">
        <v>9</v>
      </c>
    </row>
    <row r="9" spans="1:59" s="9" customFormat="1" ht="23.25" customHeight="1" x14ac:dyDescent="0.2">
      <c r="A9" s="3"/>
      <c r="B9" s="274" t="s">
        <v>27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5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8" t="s">
        <v>47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8" t="s">
        <v>211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8" t="s">
        <v>212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8" t="s">
        <v>213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9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8" t="s">
        <v>30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9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8" t="s">
        <v>221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8" t="s">
        <v>215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8" t="s">
        <v>31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74" t="s">
        <v>34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5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6" t="s">
        <v>35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7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6" t="s">
        <v>36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7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8" t="s">
        <v>216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9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59"/>
      <c r="C23" s="218" t="s">
        <v>217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59"/>
      <c r="C24" s="218" t="s">
        <v>222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9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5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6" t="s">
        <v>37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7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8" t="s">
        <v>12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9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5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59"/>
      <c r="C29" s="216" t="s">
        <v>38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59"/>
      <c r="C30" s="218" t="s">
        <v>12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9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8" t="s">
        <v>219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8" t="s">
        <v>224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59"/>
      <c r="C33" s="218" t="s">
        <v>225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59"/>
      <c r="C34" s="216" t="s">
        <v>39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7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59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9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59"/>
      <c r="C36" s="216" t="s">
        <v>40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7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6" t="s">
        <v>226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7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9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5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8" t="s">
        <v>41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9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8" t="s">
        <v>42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9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59"/>
      <c r="C42" s="218" t="s">
        <v>43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59"/>
      <c r="C43" s="218" t="s">
        <v>44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59"/>
      <c r="C44" s="218" t="s">
        <v>45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59"/>
      <c r="C45" s="218" t="s">
        <v>46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20" t="s">
        <v>22</v>
      </c>
      <c r="C46" s="216" t="s">
        <v>11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7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6" t="s">
        <v>24</v>
      </c>
      <c r="C47" s="218" t="s">
        <v>11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23" t="s">
        <v>51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22.5" customHeight="1" x14ac:dyDescent="0.2">
      <c r="BE49" s="30"/>
    </row>
    <row r="50" spans="57:57" ht="10.15" customHeight="1" x14ac:dyDescent="0.2">
      <c r="BE50" s="30"/>
    </row>
  </sheetData>
  <mergeCells count="52">
    <mergeCell ref="A48:AX48"/>
    <mergeCell ref="C43:AX43"/>
    <mergeCell ref="C44:AX44"/>
    <mergeCell ref="C45:AX45"/>
    <mergeCell ref="C41:AX41"/>
    <mergeCell ref="B40:AX40"/>
    <mergeCell ref="C42:AX42"/>
    <mergeCell ref="B46:AX46"/>
    <mergeCell ref="B47:AX47"/>
    <mergeCell ref="C25:AX25"/>
    <mergeCell ref="C29:AX29"/>
    <mergeCell ref="C30:AX30"/>
    <mergeCell ref="C27:AX27"/>
    <mergeCell ref="C32:AX32"/>
    <mergeCell ref="B26:AX26"/>
    <mergeCell ref="C28:AX28"/>
    <mergeCell ref="B31:AX31"/>
    <mergeCell ref="C33:AX33"/>
    <mergeCell ref="B37:AX37"/>
    <mergeCell ref="C39:AX39"/>
    <mergeCell ref="C36:AX36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8:AX38"/>
    <mergeCell ref="C34:AX34"/>
    <mergeCell ref="C35:AX35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</mergeCells>
  <pageMargins left="0.11811023622047245" right="0.11811023622047245" top="0" bottom="0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view="pageBreakPreview" zoomScale="60" zoomScaleNormal="55" workbookViewId="0">
      <selection activeCell="E38" sqref="E38"/>
    </sheetView>
  </sheetViews>
  <sheetFormatPr defaultRowHeight="18" x14ac:dyDescent="0.25"/>
  <cols>
    <col min="1" max="1" width="42.57031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0" width="12.5703125" customWidth="1"/>
    <col min="11" max="12" width="11.85546875" customWidth="1"/>
    <col min="13" max="13" width="92.28515625" style="77" customWidth="1"/>
  </cols>
  <sheetData>
    <row r="1" spans="1:13" ht="18.75" x14ac:dyDescent="0.3">
      <c r="A1" s="209" t="s">
        <v>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ht="18.75" x14ac:dyDescent="0.3">
      <c r="A2" s="209" t="s">
        <v>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ht="18.75" x14ac:dyDescent="0.3">
      <c r="A3" s="209" t="s">
        <v>197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77" t="s">
        <v>94</v>
      </c>
      <c r="B6" s="277" t="s">
        <v>95</v>
      </c>
      <c r="C6" s="277" t="s">
        <v>96</v>
      </c>
      <c r="D6" s="277" t="s">
        <v>97</v>
      </c>
      <c r="E6" s="277"/>
      <c r="F6" s="277"/>
      <c r="G6" s="277"/>
      <c r="H6" s="277"/>
      <c r="I6" s="277"/>
      <c r="J6" s="277"/>
      <c r="K6" s="277"/>
      <c r="L6" s="277"/>
    </row>
    <row r="7" spans="1:13" x14ac:dyDescent="0.25">
      <c r="A7" s="277"/>
      <c r="B7" s="277"/>
      <c r="C7" s="277"/>
      <c r="D7" s="277" t="s">
        <v>98</v>
      </c>
      <c r="E7" s="277"/>
      <c r="F7" s="277"/>
      <c r="G7" s="277"/>
      <c r="H7" s="277"/>
      <c r="I7" s="277"/>
      <c r="J7" s="277"/>
      <c r="K7" s="277"/>
      <c r="L7" s="277"/>
    </row>
    <row r="8" spans="1:13" x14ac:dyDescent="0.25">
      <c r="A8" s="277"/>
      <c r="B8" s="277"/>
      <c r="C8" s="277"/>
      <c r="D8" s="277" t="s">
        <v>99</v>
      </c>
      <c r="E8" s="277"/>
      <c r="F8" s="277"/>
      <c r="G8" s="277" t="s">
        <v>4</v>
      </c>
      <c r="H8" s="277"/>
      <c r="I8" s="277"/>
      <c r="J8" s="277"/>
      <c r="K8" s="277"/>
      <c r="L8" s="277"/>
    </row>
    <row r="9" spans="1:13" ht="102" customHeight="1" x14ac:dyDescent="0.25">
      <c r="A9" s="277"/>
      <c r="B9" s="277"/>
      <c r="C9" s="277"/>
      <c r="D9" s="277"/>
      <c r="E9" s="277"/>
      <c r="F9" s="277"/>
      <c r="G9" s="278" t="s">
        <v>100</v>
      </c>
      <c r="H9" s="278"/>
      <c r="I9" s="278"/>
      <c r="J9" s="278" t="s">
        <v>101</v>
      </c>
      <c r="K9" s="278"/>
      <c r="L9" s="278"/>
    </row>
    <row r="10" spans="1:13" ht="118.5" customHeight="1" x14ac:dyDescent="0.25">
      <c r="A10" s="277"/>
      <c r="B10" s="277"/>
      <c r="C10" s="277"/>
      <c r="D10" s="99" t="s">
        <v>201</v>
      </c>
      <c r="E10" s="99" t="s">
        <v>202</v>
      </c>
      <c r="F10" s="99" t="s">
        <v>203</v>
      </c>
      <c r="G10" s="148" t="s">
        <v>201</v>
      </c>
      <c r="H10" s="148" t="s">
        <v>202</v>
      </c>
      <c r="I10" s="148" t="s">
        <v>203</v>
      </c>
      <c r="J10" s="148" t="s">
        <v>201</v>
      </c>
      <c r="K10" s="148" t="s">
        <v>202</v>
      </c>
      <c r="L10" s="148" t="s">
        <v>203</v>
      </c>
      <c r="M10" s="77" t="s">
        <v>141</v>
      </c>
    </row>
    <row r="11" spans="1:13" x14ac:dyDescent="0.25">
      <c r="A11" s="61">
        <v>1</v>
      </c>
      <c r="B11" s="61">
        <v>2</v>
      </c>
      <c r="C11" s="61">
        <v>3</v>
      </c>
      <c r="D11" s="99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102</v>
      </c>
      <c r="B12" s="62">
        <v>1</v>
      </c>
      <c r="C12" s="62" t="s">
        <v>103</v>
      </c>
      <c r="D12" s="83">
        <f>SUM(D14:D27)</f>
        <v>6253980.71</v>
      </c>
      <c r="E12" s="83">
        <f>SUM(E14:E27)</f>
        <v>4395352</v>
      </c>
      <c r="F12" s="83">
        <f t="shared" ref="F12:L12" si="0">SUM(F14:F27)</f>
        <v>4395352</v>
      </c>
      <c r="G12" s="83">
        <f t="shared" si="0"/>
        <v>6253980.71</v>
      </c>
      <c r="H12" s="83">
        <f t="shared" si="0"/>
        <v>4395352</v>
      </c>
      <c r="I12" s="83">
        <f t="shared" si="0"/>
        <v>4395352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78"/>
    </row>
    <row r="13" spans="1:13" ht="54.75" customHeight="1" x14ac:dyDescent="0.25">
      <c r="A13" s="55" t="s">
        <v>104</v>
      </c>
      <c r="B13" s="62">
        <v>1001</v>
      </c>
      <c r="C13" s="62" t="s">
        <v>103</v>
      </c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s="30" customFormat="1" ht="23.25" customHeight="1" x14ac:dyDescent="0.25">
      <c r="A14" s="55" t="s">
        <v>133</v>
      </c>
      <c r="B14" s="62"/>
      <c r="C14" s="62"/>
      <c r="D14" s="83">
        <f>'3'!BK101</f>
        <v>100346.34</v>
      </c>
      <c r="E14" s="83">
        <f>44400+48000</f>
        <v>92400</v>
      </c>
      <c r="F14" s="83">
        <f>44400+48000</f>
        <v>92400</v>
      </c>
      <c r="G14" s="83">
        <f t="shared" ref="G14:G27" si="1">D14</f>
        <v>100346.34</v>
      </c>
      <c r="H14" s="83">
        <f t="shared" ref="H14:I25" si="2">E14</f>
        <v>92400</v>
      </c>
      <c r="I14" s="83">
        <f t="shared" si="2"/>
        <v>92400</v>
      </c>
      <c r="J14" s="83">
        <v>0</v>
      </c>
      <c r="K14" s="83">
        <v>0</v>
      </c>
      <c r="L14" s="83">
        <v>0</v>
      </c>
      <c r="M14" s="84"/>
    </row>
    <row r="15" spans="1:13" s="30" customFormat="1" ht="27.75" customHeight="1" x14ac:dyDescent="0.25">
      <c r="A15" s="55" t="s">
        <v>140</v>
      </c>
      <c r="B15" s="62"/>
      <c r="C15" s="62"/>
      <c r="D15" s="83">
        <v>0</v>
      </c>
      <c r="E15" s="83">
        <v>0</v>
      </c>
      <c r="F15" s="83">
        <v>0</v>
      </c>
      <c r="G15" s="83">
        <f t="shared" si="1"/>
        <v>0</v>
      </c>
      <c r="H15" s="83">
        <f t="shared" si="2"/>
        <v>0</v>
      </c>
      <c r="I15" s="83">
        <f t="shared" si="2"/>
        <v>0</v>
      </c>
      <c r="J15" s="83">
        <v>0</v>
      </c>
      <c r="K15" s="83">
        <v>0</v>
      </c>
      <c r="L15" s="83">
        <v>0</v>
      </c>
      <c r="M15" s="84"/>
    </row>
    <row r="16" spans="1:13" s="30" customFormat="1" ht="27.75" customHeight="1" x14ac:dyDescent="0.25">
      <c r="A16" s="55" t="s">
        <v>134</v>
      </c>
      <c r="B16" s="62"/>
      <c r="C16" s="62"/>
      <c r="D16" s="83">
        <f>'3'!BK103</f>
        <v>2622386.7200000002</v>
      </c>
      <c r="E16" s="83">
        <f>230000+2149662</f>
        <v>2379662</v>
      </c>
      <c r="F16" s="83">
        <f>230000+2149662</f>
        <v>2379662</v>
      </c>
      <c r="G16" s="83">
        <f t="shared" si="1"/>
        <v>2622386.7200000002</v>
      </c>
      <c r="H16" s="83">
        <f t="shared" si="2"/>
        <v>2379662</v>
      </c>
      <c r="I16" s="83">
        <f t="shared" si="2"/>
        <v>2379662</v>
      </c>
      <c r="J16" s="83">
        <v>0</v>
      </c>
      <c r="K16" s="83">
        <v>0</v>
      </c>
      <c r="L16" s="83">
        <v>0</v>
      </c>
      <c r="M16" s="84"/>
    </row>
    <row r="17" spans="1:13" s="30" customFormat="1" ht="39.75" customHeight="1" x14ac:dyDescent="0.25">
      <c r="A17" s="55" t="s">
        <v>135</v>
      </c>
      <c r="B17" s="62"/>
      <c r="C17" s="62"/>
      <c r="D17" s="83">
        <f>'3'!BK104</f>
        <v>2401559.34</v>
      </c>
      <c r="E17" s="83">
        <f>457193.28+158000</f>
        <v>615193.28</v>
      </c>
      <c r="F17" s="83">
        <f>457193.28+158000</f>
        <v>615193.28</v>
      </c>
      <c r="G17" s="83">
        <f t="shared" si="1"/>
        <v>2401559.34</v>
      </c>
      <c r="H17" s="83">
        <f t="shared" si="2"/>
        <v>615193.28</v>
      </c>
      <c r="I17" s="83">
        <f t="shared" si="2"/>
        <v>615193.28</v>
      </c>
      <c r="J17" s="83">
        <v>0</v>
      </c>
      <c r="K17" s="83">
        <v>0</v>
      </c>
      <c r="L17" s="83">
        <v>0</v>
      </c>
      <c r="M17" s="84"/>
    </row>
    <row r="18" spans="1:13" s="30" customFormat="1" ht="27.75" customHeight="1" x14ac:dyDescent="0.25">
      <c r="A18" s="55" t="s">
        <v>136</v>
      </c>
      <c r="B18" s="62"/>
      <c r="C18" s="62"/>
      <c r="D18" s="83">
        <f>'3'!BK105</f>
        <v>731652.02</v>
      </c>
      <c r="E18" s="83">
        <f>105000+763004.02+23684</f>
        <v>891688.02</v>
      </c>
      <c r="F18" s="83">
        <f>105000+763004.02+23684</f>
        <v>891688.02</v>
      </c>
      <c r="G18" s="83">
        <f t="shared" si="1"/>
        <v>731652.02</v>
      </c>
      <c r="H18" s="83">
        <f t="shared" si="2"/>
        <v>891688.02</v>
      </c>
      <c r="I18" s="83">
        <f t="shared" si="2"/>
        <v>891688.02</v>
      </c>
      <c r="J18" s="83">
        <v>0</v>
      </c>
      <c r="K18" s="83">
        <v>0</v>
      </c>
      <c r="L18" s="83">
        <v>0</v>
      </c>
      <c r="M18" s="84"/>
    </row>
    <row r="19" spans="1:13" s="30" customFormat="1" ht="24.75" customHeight="1" x14ac:dyDescent="0.25">
      <c r="A19" s="55" t="s">
        <v>250</v>
      </c>
      <c r="B19" s="62"/>
      <c r="C19" s="62"/>
      <c r="D19" s="83">
        <f>'3'!BK113</f>
        <v>4585.09</v>
      </c>
      <c r="E19" s="83">
        <v>0</v>
      </c>
      <c r="F19" s="83">
        <v>0</v>
      </c>
      <c r="G19" s="83">
        <f t="shared" ref="G19" si="3">D19</f>
        <v>4585.09</v>
      </c>
      <c r="H19" s="83">
        <f t="shared" ref="H19" si="4">E19</f>
        <v>0</v>
      </c>
      <c r="I19" s="83">
        <f t="shared" ref="I19" si="5">F19</f>
        <v>0</v>
      </c>
      <c r="J19" s="83">
        <v>0</v>
      </c>
      <c r="K19" s="83">
        <v>0</v>
      </c>
      <c r="L19" s="83">
        <v>0</v>
      </c>
      <c r="M19" s="84"/>
    </row>
    <row r="20" spans="1:13" s="30" customFormat="1" ht="24.75" customHeight="1" x14ac:dyDescent="0.25">
      <c r="A20" s="55" t="s">
        <v>137</v>
      </c>
      <c r="B20" s="62"/>
      <c r="C20" s="62"/>
      <c r="D20" s="83">
        <f>'3'!BK106</f>
        <v>0</v>
      </c>
      <c r="E20" s="83">
        <v>0</v>
      </c>
      <c r="F20" s="83">
        <v>0</v>
      </c>
      <c r="G20" s="83">
        <f t="shared" si="1"/>
        <v>0</v>
      </c>
      <c r="H20" s="83">
        <f t="shared" si="2"/>
        <v>0</v>
      </c>
      <c r="I20" s="83">
        <f t="shared" si="2"/>
        <v>0</v>
      </c>
      <c r="J20" s="83">
        <v>0</v>
      </c>
      <c r="K20" s="83">
        <v>0</v>
      </c>
      <c r="L20" s="83">
        <v>0</v>
      </c>
      <c r="M20" s="84"/>
    </row>
    <row r="21" spans="1:13" s="30" customFormat="1" ht="34.5" customHeight="1" x14ac:dyDescent="0.25">
      <c r="A21" s="55" t="s">
        <v>138</v>
      </c>
      <c r="B21" s="62"/>
      <c r="C21" s="62"/>
      <c r="D21" s="83">
        <f>'3'!BK107</f>
        <v>157310.58000000005</v>
      </c>
      <c r="E21" s="83">
        <v>146000</v>
      </c>
      <c r="F21" s="83">
        <v>146000</v>
      </c>
      <c r="G21" s="83">
        <f t="shared" si="1"/>
        <v>157310.58000000005</v>
      </c>
      <c r="H21" s="83">
        <f t="shared" si="2"/>
        <v>146000</v>
      </c>
      <c r="I21" s="83">
        <f t="shared" si="2"/>
        <v>146000</v>
      </c>
      <c r="J21" s="83">
        <v>0</v>
      </c>
      <c r="K21" s="83">
        <v>0</v>
      </c>
      <c r="L21" s="83">
        <v>0</v>
      </c>
      <c r="M21" s="84"/>
    </row>
    <row r="22" spans="1:13" s="30" customFormat="1" ht="43.5" customHeight="1" x14ac:dyDescent="0.25">
      <c r="A22" s="55" t="s">
        <v>230</v>
      </c>
      <c r="B22" s="62"/>
      <c r="C22" s="62"/>
      <c r="D22" s="83">
        <f>'3'!BK108</f>
        <v>123075.22</v>
      </c>
      <c r="E22" s="83">
        <v>0</v>
      </c>
      <c r="F22" s="83">
        <v>0</v>
      </c>
      <c r="G22" s="83">
        <f t="shared" si="1"/>
        <v>123075.22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4"/>
    </row>
    <row r="23" spans="1:13" s="30" customFormat="1" ht="43.5" customHeight="1" x14ac:dyDescent="0.25">
      <c r="A23" s="55" t="s">
        <v>232</v>
      </c>
      <c r="B23" s="62"/>
      <c r="C23" s="62"/>
      <c r="D23" s="83">
        <f>'3'!BK109</f>
        <v>749</v>
      </c>
      <c r="E23" s="83">
        <v>0</v>
      </c>
      <c r="F23" s="83">
        <v>0</v>
      </c>
      <c r="G23" s="83">
        <f t="shared" ref="G23:G24" si="6">D23</f>
        <v>749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4"/>
    </row>
    <row r="24" spans="1:13" s="30" customFormat="1" ht="39.75" customHeight="1" x14ac:dyDescent="0.25">
      <c r="A24" s="55" t="s">
        <v>229</v>
      </c>
      <c r="B24" s="55"/>
      <c r="C24" s="55"/>
      <c r="D24" s="74">
        <f>'3'!BK110</f>
        <v>4500</v>
      </c>
      <c r="E24" s="83">
        <v>0</v>
      </c>
      <c r="F24" s="83">
        <v>0</v>
      </c>
      <c r="G24" s="83">
        <f t="shared" si="6"/>
        <v>4500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4"/>
    </row>
    <row r="25" spans="1:13" ht="57" customHeight="1" x14ac:dyDescent="0.25">
      <c r="A25" s="55" t="s">
        <v>220</v>
      </c>
      <c r="B25" s="55"/>
      <c r="C25" s="55"/>
      <c r="D25" s="74">
        <f>'3'!BK111</f>
        <v>94120.4</v>
      </c>
      <c r="E25" s="74">
        <f>143000+127408.7</f>
        <v>270408.7</v>
      </c>
      <c r="F25" s="74">
        <f>143000+127408.7</f>
        <v>270408.7</v>
      </c>
      <c r="G25" s="83">
        <f t="shared" si="1"/>
        <v>94120.4</v>
      </c>
      <c r="H25" s="74">
        <f t="shared" si="2"/>
        <v>270408.7</v>
      </c>
      <c r="I25" s="74">
        <f t="shared" si="2"/>
        <v>270408.7</v>
      </c>
      <c r="J25" s="83">
        <v>0</v>
      </c>
      <c r="K25" s="83">
        <v>0</v>
      </c>
      <c r="L25" s="83">
        <v>0</v>
      </c>
      <c r="M25" s="84"/>
    </row>
    <row r="26" spans="1:13" s="30" customFormat="1" ht="57" customHeight="1" x14ac:dyDescent="0.25">
      <c r="A26" s="55" t="s">
        <v>240</v>
      </c>
      <c r="B26" s="55"/>
      <c r="C26" s="55"/>
      <c r="D26" s="74">
        <f>'3'!BK102</f>
        <v>13696</v>
      </c>
      <c r="E26" s="74">
        <v>0</v>
      </c>
      <c r="F26" s="74">
        <v>0</v>
      </c>
      <c r="G26" s="83">
        <f t="shared" si="1"/>
        <v>13696</v>
      </c>
      <c r="H26" s="74">
        <v>0</v>
      </c>
      <c r="I26" s="74">
        <v>0</v>
      </c>
      <c r="J26" s="83">
        <v>0</v>
      </c>
      <c r="K26" s="83">
        <v>0</v>
      </c>
      <c r="L26" s="83">
        <v>0</v>
      </c>
      <c r="M26" s="84"/>
    </row>
    <row r="27" spans="1:13" s="30" customFormat="1" ht="87" customHeight="1" x14ac:dyDescent="0.25">
      <c r="A27" s="55" t="s">
        <v>231</v>
      </c>
      <c r="B27" s="55"/>
      <c r="C27" s="55"/>
      <c r="D27" s="74">
        <f>'3'!BK112</f>
        <v>0</v>
      </c>
      <c r="E27" s="74">
        <v>0</v>
      </c>
      <c r="F27" s="74">
        <v>0</v>
      </c>
      <c r="G27" s="83">
        <f t="shared" si="1"/>
        <v>0</v>
      </c>
      <c r="H27" s="74">
        <v>0</v>
      </c>
      <c r="I27" s="74">
        <v>0</v>
      </c>
      <c r="J27" s="83">
        <v>0</v>
      </c>
      <c r="K27" s="83">
        <v>0</v>
      </c>
      <c r="L27" s="83">
        <v>0</v>
      </c>
      <c r="M27" s="84"/>
    </row>
    <row r="28" spans="1:13" ht="33.75" customHeight="1" x14ac:dyDescent="0.25">
      <c r="A28" s="55" t="s">
        <v>105</v>
      </c>
      <c r="B28" s="62">
        <v>2001</v>
      </c>
      <c r="C28" s="55"/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</row>
    <row r="29" spans="1:13" x14ac:dyDescent="0.25">
      <c r="A29" s="55"/>
      <c r="B29" s="55"/>
      <c r="C29" s="55"/>
      <c r="D29" s="74"/>
      <c r="E29" s="74"/>
      <c r="F29" s="74"/>
      <c r="G29" s="74"/>
      <c r="H29" s="74"/>
      <c r="I29" s="74"/>
      <c r="J29" s="74"/>
      <c r="K29" s="74"/>
      <c r="L29" s="74"/>
    </row>
    <row r="30" spans="1:13" ht="18.75" customHeight="1" x14ac:dyDescent="0.3">
      <c r="A30" s="60"/>
      <c r="D30" s="85">
        <f>'3'!BA63-'4'!D12</f>
        <v>0</v>
      </c>
      <c r="E30" s="87">
        <f>'3 (2)'!BA37-'4'!E12</f>
        <v>0</v>
      </c>
      <c r="F30" s="87">
        <f>'3 (3)'!BA37-'4'!F12</f>
        <v>0</v>
      </c>
    </row>
    <row r="31" spans="1:13" x14ac:dyDescent="0.25">
      <c r="E31" s="86"/>
      <c r="F31" s="86"/>
    </row>
    <row r="32" spans="1:13" x14ac:dyDescent="0.25">
      <c r="E32" s="86"/>
      <c r="F32" s="86"/>
    </row>
    <row r="33" spans="5:6" x14ac:dyDescent="0.25">
      <c r="E33" s="86"/>
      <c r="F33" s="86"/>
    </row>
    <row r="34" spans="5:6" x14ac:dyDescent="0.25">
      <c r="E34" s="86"/>
      <c r="F34" s="86"/>
    </row>
    <row r="35" spans="5:6" x14ac:dyDescent="0.25">
      <c r="E35" s="86"/>
      <c r="F35" s="86"/>
    </row>
    <row r="36" spans="5:6" x14ac:dyDescent="0.25">
      <c r="E36" s="86"/>
      <c r="F36" s="86"/>
    </row>
    <row r="37" spans="5:6" x14ac:dyDescent="0.25">
      <c r="E37" s="86"/>
      <c r="F37" s="86"/>
    </row>
    <row r="38" spans="5:6" x14ac:dyDescent="0.25">
      <c r="E38" s="86"/>
      <c r="F38" s="86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5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tabSelected="1" view="pageBreakPreview" zoomScale="73" zoomScaleNormal="100" zoomScaleSheetLayoutView="73" workbookViewId="0">
      <selection activeCell="F21" sqref="F21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9" t="s">
        <v>106</v>
      </c>
      <c r="B1" s="209"/>
      <c r="C1" s="209"/>
    </row>
    <row r="2" spans="1:4" ht="18.75" x14ac:dyDescent="0.3">
      <c r="A2" s="209" t="s">
        <v>107</v>
      </c>
      <c r="B2" s="209"/>
      <c r="C2" s="209"/>
      <c r="D2" s="9" t="s">
        <v>142</v>
      </c>
    </row>
    <row r="3" spans="1:4" ht="18.75" x14ac:dyDescent="0.3">
      <c r="A3" s="209" t="s">
        <v>198</v>
      </c>
      <c r="B3" s="209"/>
      <c r="C3" s="209"/>
    </row>
    <row r="4" spans="1:4" ht="18.75" x14ac:dyDescent="0.3">
      <c r="A4" s="209" t="s">
        <v>108</v>
      </c>
      <c r="B4" s="209"/>
      <c r="C4" s="209"/>
    </row>
    <row r="5" spans="1:4" ht="18.75" x14ac:dyDescent="0.3">
      <c r="A5" s="60"/>
    </row>
    <row r="6" spans="1:4" ht="15.75" x14ac:dyDescent="0.2">
      <c r="A6" s="277" t="s">
        <v>0</v>
      </c>
      <c r="B6" s="277" t="s">
        <v>1</v>
      </c>
      <c r="C6" s="61" t="s">
        <v>109</v>
      </c>
    </row>
    <row r="7" spans="1:4" ht="50.25" customHeight="1" x14ac:dyDescent="0.2">
      <c r="A7" s="277"/>
      <c r="B7" s="277"/>
      <c r="C7" s="61" t="s">
        <v>110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4">
        <v>0</v>
      </c>
    </row>
    <row r="10" spans="1:4" ht="27" customHeight="1" x14ac:dyDescent="0.2">
      <c r="A10" s="55" t="s">
        <v>24</v>
      </c>
      <c r="B10" s="61">
        <v>20</v>
      </c>
      <c r="C10" s="74">
        <v>0</v>
      </c>
    </row>
    <row r="11" spans="1:4" ht="27" customHeight="1" x14ac:dyDescent="0.2">
      <c r="A11" s="55" t="s">
        <v>111</v>
      </c>
      <c r="B11" s="61">
        <v>30</v>
      </c>
      <c r="C11" s="74">
        <v>0</v>
      </c>
    </row>
    <row r="12" spans="1:4" ht="27" customHeight="1" x14ac:dyDescent="0.2">
      <c r="A12" s="55"/>
      <c r="B12" s="55"/>
      <c r="C12" s="74"/>
    </row>
    <row r="13" spans="1:4" ht="27" customHeight="1" x14ac:dyDescent="0.2">
      <c r="A13" s="55" t="s">
        <v>112</v>
      </c>
      <c r="B13" s="61">
        <v>40</v>
      </c>
      <c r="C13" s="74">
        <v>0</v>
      </c>
    </row>
    <row r="14" spans="1:4" ht="15.75" x14ac:dyDescent="0.2">
      <c r="A14" s="55"/>
      <c r="B14" s="55"/>
      <c r="C14" s="74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9" t="s">
        <v>113</v>
      </c>
      <c r="B18" s="209"/>
      <c r="C18" s="209"/>
    </row>
    <row r="19" spans="1:3" ht="12.75" customHeight="1" x14ac:dyDescent="0.3">
      <c r="A19" s="52"/>
    </row>
    <row r="20" spans="1:3" ht="30.75" customHeight="1" x14ac:dyDescent="0.2">
      <c r="A20" s="277" t="s">
        <v>0</v>
      </c>
      <c r="B20" s="277" t="s">
        <v>1</v>
      </c>
      <c r="C20" s="61" t="s">
        <v>114</v>
      </c>
    </row>
    <row r="21" spans="1:3" ht="15.75" x14ac:dyDescent="0.2">
      <c r="A21" s="277"/>
      <c r="B21" s="277"/>
      <c r="C21" s="61" t="s">
        <v>115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116</v>
      </c>
      <c r="B23" s="61">
        <v>10</v>
      </c>
      <c r="C23" s="74">
        <v>0</v>
      </c>
    </row>
    <row r="24" spans="1:3" ht="90" customHeight="1" x14ac:dyDescent="0.2">
      <c r="A24" s="70" t="s">
        <v>117</v>
      </c>
      <c r="B24" s="61">
        <v>20</v>
      </c>
      <c r="C24" s="74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119</v>
      </c>
    </row>
    <row r="27" spans="1:3" s="65" customFormat="1" ht="19.5" customHeight="1" x14ac:dyDescent="0.2">
      <c r="A27" s="67" t="s">
        <v>118</v>
      </c>
    </row>
    <row r="28" spans="1:3" s="65" customFormat="1" ht="15.75" x14ac:dyDescent="0.2">
      <c r="A28" s="66" t="s">
        <v>120</v>
      </c>
      <c r="B28" s="76" t="s">
        <v>129</v>
      </c>
      <c r="C28" s="76" t="s">
        <v>129</v>
      </c>
    </row>
    <row r="29" spans="1:3" s="65" customFormat="1" ht="21" customHeight="1" x14ac:dyDescent="0.2">
      <c r="A29" s="66"/>
      <c r="B29" s="66" t="s">
        <v>121</v>
      </c>
      <c r="C29" s="66" t="s">
        <v>122</v>
      </c>
    </row>
    <row r="30" spans="1:3" s="65" customFormat="1" ht="10.5" customHeight="1" x14ac:dyDescent="0.2">
      <c r="A30" s="66"/>
    </row>
    <row r="31" spans="1:3" ht="15.75" x14ac:dyDescent="0.25">
      <c r="A31" s="64" t="s">
        <v>174</v>
      </c>
      <c r="B31" s="69"/>
      <c r="C31" s="75" t="s">
        <v>175</v>
      </c>
    </row>
    <row r="32" spans="1:3" ht="16.5" customHeight="1" x14ac:dyDescent="0.25">
      <c r="A32" s="64"/>
      <c r="B32" s="66" t="s">
        <v>121</v>
      </c>
      <c r="C32" s="66" t="s">
        <v>122</v>
      </c>
    </row>
    <row r="33" spans="1:3" ht="15.75" x14ac:dyDescent="0.25">
      <c r="A33" s="64"/>
    </row>
    <row r="34" spans="1:3" ht="15.75" x14ac:dyDescent="0.25">
      <c r="A34" s="64" t="s">
        <v>123</v>
      </c>
      <c r="B34" s="69"/>
      <c r="C34" s="75" t="s">
        <v>175</v>
      </c>
    </row>
    <row r="35" spans="1:3" ht="18.75" customHeight="1" x14ac:dyDescent="0.25">
      <c r="A35" s="64" t="s">
        <v>178</v>
      </c>
      <c r="B35" s="66" t="s">
        <v>121</v>
      </c>
      <c r="C35" s="66" t="s">
        <v>122</v>
      </c>
    </row>
    <row r="36" spans="1:3" ht="15.75" x14ac:dyDescent="0.25">
      <c r="A36" s="64"/>
    </row>
    <row r="37" spans="1:3" ht="26.25" customHeight="1" x14ac:dyDescent="0.25">
      <c r="A37" s="64" t="s">
        <v>167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2019-06-21T05:34:19Z</cp:lastPrinted>
  <dcterms:created xsi:type="dcterms:W3CDTF">2016-04-19T05:14:21Z</dcterms:created>
  <dcterms:modified xsi:type="dcterms:W3CDTF">2019-06-21T05:48:45Z</dcterms:modified>
</cp:coreProperties>
</file>